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Greg\Box Sync\World Bank\Water GP\PBC NRW\Castalia\Training Curriculum\Training Curricula w Backup_final\"/>
    </mc:Choice>
  </mc:AlternateContent>
  <bookViews>
    <workbookView xWindow="20" yWindow="1100" windowWidth="51200" windowHeight="24560" tabRatio="806"/>
  </bookViews>
  <sheets>
    <sheet name="Summary" sheetId="18" r:id="rId1"/>
    <sheet name="Summary Graphics" sheetId="20" r:id="rId2"/>
    <sheet name="System Attributes and Operation" sheetId="15" r:id="rId3"/>
    <sheet name="Utility Finances" sheetId="2" r:id="rId4"/>
    <sheet name="Water Balance" sheetId="3" r:id="rId5"/>
    <sheet name="WB Confidence Analysis" sheetId="17" state="hidden" r:id="rId6"/>
  </sheets>
  <definedNames>
    <definedName name="_xlnm.Print_Area" localSheetId="0">Summary!$B$1:$T$29</definedName>
    <definedName name="_xlnm.Print_Area" localSheetId="2">'System Attributes and Operation'!$B$1:$U$65</definedName>
    <definedName name="_xlnm.Print_Area" localSheetId="4">'Water Balance'!$B$1:$T$46</definedName>
  </definedName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" i="3" l="1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N4" i="3"/>
  <c r="N6" i="3" s="1"/>
  <c r="N8" i="3"/>
  <c r="N9" i="3"/>
  <c r="N14" i="3" s="1"/>
  <c r="N22" i="3" s="1"/>
  <c r="N24" i="18" s="1"/>
  <c r="N10" i="3"/>
  <c r="M4" i="3"/>
  <c r="M6" i="3"/>
  <c r="M11" i="3" s="1"/>
  <c r="M13" i="3" s="1"/>
  <c r="M8" i="3"/>
  <c r="M9" i="3"/>
  <c r="M10" i="3"/>
  <c r="M14" i="3"/>
  <c r="L4" i="3"/>
  <c r="L6" i="3"/>
  <c r="L8" i="3"/>
  <c r="L9" i="3"/>
  <c r="L10" i="3"/>
  <c r="L14" i="3"/>
  <c r="K4" i="3"/>
  <c r="K6" i="3"/>
  <c r="K8" i="3"/>
  <c r="K9" i="3"/>
  <c r="K14" i="3" s="1"/>
  <c r="K10" i="3"/>
  <c r="J4" i="3"/>
  <c r="J6" i="3"/>
  <c r="J8" i="3"/>
  <c r="J9" i="3"/>
  <c r="J14" i="3" s="1"/>
  <c r="J10" i="3"/>
  <c r="I4" i="3"/>
  <c r="I6" i="3"/>
  <c r="I11" i="3" s="1"/>
  <c r="I13" i="3" s="1"/>
  <c r="I8" i="3"/>
  <c r="I9" i="3"/>
  <c r="I10" i="3"/>
  <c r="I14" i="3"/>
  <c r="H4" i="3"/>
  <c r="H6" i="3"/>
  <c r="H11" i="3" s="1"/>
  <c r="H8" i="3"/>
  <c r="H9" i="3"/>
  <c r="H17" i="3" s="1"/>
  <c r="H10" i="3"/>
  <c r="H14" i="3"/>
  <c r="G4" i="3"/>
  <c r="G6" i="3"/>
  <c r="G8" i="3"/>
  <c r="G9" i="3"/>
  <c r="G14" i="3" s="1"/>
  <c r="G10" i="3"/>
  <c r="F4" i="3"/>
  <c r="F6" i="3"/>
  <c r="F8" i="3"/>
  <c r="F9" i="3"/>
  <c r="F17" i="3" s="1"/>
  <c r="F10" i="3"/>
  <c r="F14" i="3"/>
  <c r="E4" i="3"/>
  <c r="E6" i="3"/>
  <c r="E11" i="3" s="1"/>
  <c r="E13" i="3" s="1"/>
  <c r="E8" i="3"/>
  <c r="E9" i="3"/>
  <c r="E10" i="3"/>
  <c r="E14" i="3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N60" i="15"/>
  <c r="N58" i="15"/>
  <c r="M60" i="15"/>
  <c r="M58" i="15"/>
  <c r="L60" i="15"/>
  <c r="L58" i="15"/>
  <c r="K60" i="15"/>
  <c r="K58" i="15"/>
  <c r="J60" i="15"/>
  <c r="J58" i="15"/>
  <c r="I60" i="15"/>
  <c r="I58" i="15"/>
  <c r="H60" i="15"/>
  <c r="H58" i="15"/>
  <c r="G60" i="15"/>
  <c r="G58" i="15"/>
  <c r="F60" i="15"/>
  <c r="F58" i="15"/>
  <c r="E60" i="15"/>
  <c r="E58" i="15"/>
  <c r="R51" i="15"/>
  <c r="R12" i="18"/>
  <c r="Q51" i="15"/>
  <c r="Q12" i="18" s="1"/>
  <c r="P51" i="15"/>
  <c r="P12" i="18"/>
  <c r="O51" i="15"/>
  <c r="O12" i="18" s="1"/>
  <c r="N51" i="15"/>
  <c r="N12" i="18"/>
  <c r="M51" i="15"/>
  <c r="M12" i="18" s="1"/>
  <c r="L51" i="15"/>
  <c r="L12" i="18"/>
  <c r="K51" i="15"/>
  <c r="K12" i="18" s="1"/>
  <c r="J51" i="15"/>
  <c r="J12" i="18"/>
  <c r="I51" i="15"/>
  <c r="I12" i="18" s="1"/>
  <c r="H51" i="15"/>
  <c r="H12" i="18"/>
  <c r="G51" i="15"/>
  <c r="G12" i="18" s="1"/>
  <c r="F51" i="15"/>
  <c r="F12" i="18"/>
  <c r="R50" i="15"/>
  <c r="R11" i="18" s="1"/>
  <c r="Q50" i="15"/>
  <c r="Q11" i="18"/>
  <c r="P50" i="15"/>
  <c r="P11" i="18" s="1"/>
  <c r="O50" i="15"/>
  <c r="O11" i="18"/>
  <c r="N50" i="15"/>
  <c r="N11" i="18" s="1"/>
  <c r="M50" i="15"/>
  <c r="M11" i="18"/>
  <c r="L50" i="15"/>
  <c r="L11" i="18" s="1"/>
  <c r="K50" i="15"/>
  <c r="K11" i="18"/>
  <c r="J50" i="15"/>
  <c r="J11" i="18" s="1"/>
  <c r="I50" i="15"/>
  <c r="I11" i="18"/>
  <c r="H50" i="15"/>
  <c r="H11" i="18" s="1"/>
  <c r="G50" i="15"/>
  <c r="G11" i="18"/>
  <c r="F50" i="15"/>
  <c r="F11" i="18" s="1"/>
  <c r="E50" i="15"/>
  <c r="E11" i="18"/>
  <c r="E51" i="15"/>
  <c r="E12" i="18" s="1"/>
  <c r="N10" i="18"/>
  <c r="M10" i="18"/>
  <c r="L10" i="18"/>
  <c r="K10" i="18"/>
  <c r="J10" i="18"/>
  <c r="I10" i="18"/>
  <c r="H10" i="18"/>
  <c r="G10" i="18"/>
  <c r="F10" i="18"/>
  <c r="E10" i="18"/>
  <c r="N9" i="18"/>
  <c r="M9" i="18"/>
  <c r="L9" i="18"/>
  <c r="K9" i="18"/>
  <c r="J9" i="18"/>
  <c r="I9" i="18"/>
  <c r="H9" i="18"/>
  <c r="G9" i="18"/>
  <c r="F9" i="18"/>
  <c r="E9" i="18"/>
  <c r="R17" i="2"/>
  <c r="R28" i="2"/>
  <c r="Q17" i="2"/>
  <c r="Q28" i="2"/>
  <c r="Q33" i="3"/>
  <c r="P17" i="2"/>
  <c r="P28" i="2" s="1"/>
  <c r="P33" i="3" s="1"/>
  <c r="O17" i="2"/>
  <c r="N17" i="2"/>
  <c r="N28" i="2"/>
  <c r="N33" i="3" s="1"/>
  <c r="M17" i="2"/>
  <c r="M28" i="2"/>
  <c r="M33" i="3"/>
  <c r="L17" i="2"/>
  <c r="L28" i="2" s="1"/>
  <c r="L33" i="3" s="1"/>
  <c r="K17" i="2"/>
  <c r="J17" i="2"/>
  <c r="J28" i="2"/>
  <c r="I17" i="2"/>
  <c r="I28" i="2"/>
  <c r="I33" i="3"/>
  <c r="H17" i="2"/>
  <c r="H28" i="2" s="1"/>
  <c r="G17" i="2"/>
  <c r="F17" i="2"/>
  <c r="F28" i="2"/>
  <c r="E17" i="2"/>
  <c r="E28" i="2"/>
  <c r="E33" i="3"/>
  <c r="G8" i="2"/>
  <c r="G10" i="2" s="1"/>
  <c r="F8" i="2"/>
  <c r="F10" i="2"/>
  <c r="E8" i="2"/>
  <c r="E10" i="2" s="1"/>
  <c r="R8" i="3"/>
  <c r="R9" i="3" s="1"/>
  <c r="R14" i="3" s="1"/>
  <c r="R8" i="2"/>
  <c r="R10" i="2" s="1"/>
  <c r="Q8" i="2"/>
  <c r="Q10" i="2" s="1"/>
  <c r="P8" i="2"/>
  <c r="P10" i="2"/>
  <c r="P19" i="2"/>
  <c r="P21" i="2" s="1"/>
  <c r="P24" i="2" s="1"/>
  <c r="O8" i="2"/>
  <c r="O10" i="2"/>
  <c r="N8" i="2"/>
  <c r="N10" i="2" s="1"/>
  <c r="M8" i="2"/>
  <c r="M10" i="2" s="1"/>
  <c r="L8" i="2"/>
  <c r="L10" i="2"/>
  <c r="L19" i="2"/>
  <c r="L21" i="2" s="1"/>
  <c r="L24" i="2" s="1"/>
  <c r="K8" i="2"/>
  <c r="K10" i="2"/>
  <c r="J8" i="2"/>
  <c r="J10" i="2" s="1"/>
  <c r="I8" i="2"/>
  <c r="I10" i="2" s="1"/>
  <c r="H8" i="2"/>
  <c r="H10" i="2"/>
  <c r="H19" i="2"/>
  <c r="H21" i="2" s="1"/>
  <c r="H24" i="2" s="1"/>
  <c r="R44" i="15"/>
  <c r="R46" i="15" s="1"/>
  <c r="R45" i="15"/>
  <c r="Q44" i="15"/>
  <c r="Q45" i="15"/>
  <c r="Q46" i="15" s="1"/>
  <c r="P44" i="15"/>
  <c r="P45" i="15"/>
  <c r="P46" i="15"/>
  <c r="O44" i="15"/>
  <c r="O46" i="15" s="1"/>
  <c r="O45" i="15"/>
  <c r="N44" i="15"/>
  <c r="N46" i="15" s="1"/>
  <c r="N45" i="15"/>
  <c r="M44" i="15"/>
  <c r="M45" i="15"/>
  <c r="M46" i="15" s="1"/>
  <c r="L44" i="15"/>
  <c r="L45" i="15"/>
  <c r="L46" i="15"/>
  <c r="K44" i="15"/>
  <c r="K46" i="15" s="1"/>
  <c r="K45" i="15"/>
  <c r="J44" i="15"/>
  <c r="J46" i="15" s="1"/>
  <c r="J45" i="15"/>
  <c r="I44" i="15"/>
  <c r="I45" i="15"/>
  <c r="I46" i="15" s="1"/>
  <c r="H44" i="15"/>
  <c r="H45" i="15"/>
  <c r="H46" i="15"/>
  <c r="G44" i="15"/>
  <c r="G46" i="15" s="1"/>
  <c r="G45" i="15"/>
  <c r="F44" i="15"/>
  <c r="F46" i="15" s="1"/>
  <c r="F45" i="15"/>
  <c r="E44" i="15"/>
  <c r="E45" i="15"/>
  <c r="E46" i="15" s="1"/>
  <c r="R15" i="18"/>
  <c r="Q15" i="18"/>
  <c r="P15" i="18"/>
  <c r="N15" i="18"/>
  <c r="M15" i="18"/>
  <c r="L15" i="18"/>
  <c r="J15" i="18"/>
  <c r="I15" i="18"/>
  <c r="H15" i="18"/>
  <c r="F15" i="18"/>
  <c r="Q14" i="18"/>
  <c r="P14" i="18"/>
  <c r="M14" i="18"/>
  <c r="L14" i="18"/>
  <c r="I14" i="18"/>
  <c r="H14" i="18"/>
  <c r="E15" i="18"/>
  <c r="E17" i="18"/>
  <c r="R10" i="18"/>
  <c r="L7" i="18"/>
  <c r="M7" i="18"/>
  <c r="N7" i="18"/>
  <c r="O7" i="18"/>
  <c r="P7" i="18"/>
  <c r="Q7" i="18"/>
  <c r="R7" i="18"/>
  <c r="R42" i="15"/>
  <c r="E42" i="15"/>
  <c r="R38" i="15"/>
  <c r="R40" i="15"/>
  <c r="E38" i="15"/>
  <c r="E40" i="15" s="1"/>
  <c r="Q53" i="2"/>
  <c r="Q54" i="2"/>
  <c r="Q26" i="2"/>
  <c r="Q16" i="18" s="1"/>
  <c r="Q17" i="18"/>
  <c r="E56" i="15"/>
  <c r="E55" i="15"/>
  <c r="P26" i="2"/>
  <c r="O26" i="2"/>
  <c r="L26" i="2"/>
  <c r="K26" i="2"/>
  <c r="H26" i="2"/>
  <c r="P53" i="2"/>
  <c r="P54" i="2" s="1"/>
  <c r="P49" i="2"/>
  <c r="P51" i="2"/>
  <c r="P29" i="2"/>
  <c r="L29" i="2"/>
  <c r="H29" i="2"/>
  <c r="H19" i="18" s="1"/>
  <c r="Q10" i="18"/>
  <c r="P10" i="18"/>
  <c r="O10" i="18"/>
  <c r="P56" i="2"/>
  <c r="J55" i="15"/>
  <c r="J17" i="18"/>
  <c r="I17" i="18"/>
  <c r="J28" i="3"/>
  <c r="H28" i="3"/>
  <c r="G28" i="3"/>
  <c r="F28" i="3"/>
  <c r="I56" i="15"/>
  <c r="H56" i="15"/>
  <c r="G56" i="15"/>
  <c r="F56" i="15"/>
  <c r="I55" i="15"/>
  <c r="H55" i="15"/>
  <c r="G55" i="15"/>
  <c r="F55" i="15"/>
  <c r="R60" i="15"/>
  <c r="Q60" i="15"/>
  <c r="P60" i="15"/>
  <c r="O60" i="15"/>
  <c r="K28" i="3"/>
  <c r="R58" i="15"/>
  <c r="R56" i="15"/>
  <c r="R55" i="15"/>
  <c r="I42" i="15"/>
  <c r="H42" i="15"/>
  <c r="G42" i="15"/>
  <c r="F42" i="15"/>
  <c r="R39" i="15"/>
  <c r="Q38" i="15"/>
  <c r="P38" i="15"/>
  <c r="O38" i="15"/>
  <c r="O39" i="15" s="1"/>
  <c r="N38" i="15"/>
  <c r="N39" i="15" s="1"/>
  <c r="M38" i="15"/>
  <c r="L38" i="15"/>
  <c r="K38" i="15"/>
  <c r="K39" i="15" s="1"/>
  <c r="J38" i="15"/>
  <c r="J39" i="15"/>
  <c r="I38" i="15"/>
  <c r="I40" i="15" s="1"/>
  <c r="H38" i="15"/>
  <c r="H40" i="15"/>
  <c r="G38" i="15"/>
  <c r="G40" i="15" s="1"/>
  <c r="F38" i="15"/>
  <c r="F39" i="15"/>
  <c r="I5" i="18"/>
  <c r="H5" i="18"/>
  <c r="G5" i="18"/>
  <c r="F5" i="18"/>
  <c r="E5" i="18"/>
  <c r="J4" i="18"/>
  <c r="I4" i="18"/>
  <c r="H4" i="18"/>
  <c r="H6" i="18" s="1"/>
  <c r="G4" i="18"/>
  <c r="F4" i="18"/>
  <c r="E4" i="18"/>
  <c r="H49" i="2"/>
  <c r="H51" i="2" s="1"/>
  <c r="G49" i="2"/>
  <c r="G51" i="2" s="1"/>
  <c r="L17" i="18"/>
  <c r="H16" i="18"/>
  <c r="L28" i="3"/>
  <c r="E17" i="15"/>
  <c r="I17" i="15"/>
  <c r="H17" i="15"/>
  <c r="G17" i="15"/>
  <c r="F17" i="15"/>
  <c r="L54" i="2"/>
  <c r="H18" i="3"/>
  <c r="H8" i="18" s="1"/>
  <c r="E6" i="18"/>
  <c r="I6" i="18"/>
  <c r="F40" i="15"/>
  <c r="G39" i="15"/>
  <c r="J17" i="15"/>
  <c r="J5" i="18"/>
  <c r="J6" i="18"/>
  <c r="J42" i="15"/>
  <c r="J56" i="15"/>
  <c r="J40" i="15"/>
  <c r="K40" i="15"/>
  <c r="H39" i="15"/>
  <c r="L39" i="15"/>
  <c r="P39" i="15"/>
  <c r="I39" i="15"/>
  <c r="M39" i="15"/>
  <c r="Q39" i="15"/>
  <c r="L16" i="18"/>
  <c r="L19" i="18"/>
  <c r="K16" i="18"/>
  <c r="F6" i="18"/>
  <c r="G6" i="18"/>
  <c r="E17" i="3"/>
  <c r="G18" i="3"/>
  <c r="G8" i="18"/>
  <c r="K18" i="3"/>
  <c r="K8" i="18" s="1"/>
  <c r="E18" i="3"/>
  <c r="E8" i="18"/>
  <c r="I18" i="3"/>
  <c r="I8" i="18" s="1"/>
  <c r="F18" i="3"/>
  <c r="F8" i="18" s="1"/>
  <c r="J18" i="3"/>
  <c r="J8" i="18"/>
  <c r="H31" i="3"/>
  <c r="H32" i="3" s="1"/>
  <c r="H20" i="3"/>
  <c r="H21" i="18"/>
  <c r="K55" i="15"/>
  <c r="K4" i="18"/>
  <c r="L55" i="15"/>
  <c r="L4" i="18"/>
  <c r="K42" i="15"/>
  <c r="K5" i="18"/>
  <c r="K17" i="15"/>
  <c r="K56" i="15"/>
  <c r="L31" i="3"/>
  <c r="L32" i="3" s="1"/>
  <c r="I20" i="3"/>
  <c r="I21" i="18"/>
  <c r="I12" i="3"/>
  <c r="I22" i="18" s="1"/>
  <c r="J17" i="3"/>
  <c r="H22" i="3"/>
  <c r="H24" i="18"/>
  <c r="H23" i="3"/>
  <c r="H26" i="18" s="1"/>
  <c r="E20" i="3"/>
  <c r="E21" i="18"/>
  <c r="E12" i="3"/>
  <c r="E22" i="18" s="1"/>
  <c r="K17" i="3"/>
  <c r="E23" i="3"/>
  <c r="E26" i="18"/>
  <c r="E22" i="3"/>
  <c r="E24" i="18" s="1"/>
  <c r="G17" i="3"/>
  <c r="I17" i="3"/>
  <c r="F23" i="3"/>
  <c r="F26" i="18"/>
  <c r="F22" i="3"/>
  <c r="F24" i="18" s="1"/>
  <c r="K6" i="18"/>
  <c r="M55" i="15"/>
  <c r="L56" i="15"/>
  <c r="L17" i="15"/>
  <c r="L42" i="15"/>
  <c r="L5" i="18"/>
  <c r="L6" i="18"/>
  <c r="L18" i="3"/>
  <c r="L8" i="18" s="1"/>
  <c r="L40" i="15"/>
  <c r="L17" i="3"/>
  <c r="L22" i="3"/>
  <c r="L24" i="18" s="1"/>
  <c r="L23" i="3"/>
  <c r="L26" i="18"/>
  <c r="E21" i="3"/>
  <c r="E23" i="18"/>
  <c r="I22" i="3"/>
  <c r="I24" i="18" s="1"/>
  <c r="I23" i="3"/>
  <c r="I26" i="18"/>
  <c r="I21" i="3"/>
  <c r="I23" i="18" s="1"/>
  <c r="I34" i="3"/>
  <c r="N55" i="15"/>
  <c r="M56" i="15"/>
  <c r="M42" i="15"/>
  <c r="M40" i="15"/>
  <c r="L34" i="3"/>
  <c r="O55" i="15"/>
  <c r="N56" i="15"/>
  <c r="N40" i="15"/>
  <c r="N42" i="15"/>
  <c r="P55" i="15"/>
  <c r="O42" i="15"/>
  <c r="O58" i="15"/>
  <c r="O56" i="15"/>
  <c r="O40" i="15"/>
  <c r="C15" i="18"/>
  <c r="C14" i="18"/>
  <c r="R28" i="3"/>
  <c r="Q28" i="3"/>
  <c r="P28" i="3"/>
  <c r="O28" i="3"/>
  <c r="N28" i="3"/>
  <c r="M28" i="3"/>
  <c r="Q55" i="15"/>
  <c r="P58" i="15"/>
  <c r="P56" i="15"/>
  <c r="P42" i="15"/>
  <c r="P40" i="15"/>
  <c r="R10" i="3"/>
  <c r="C18" i="17" s="1"/>
  <c r="Q8" i="3"/>
  <c r="Q10" i="3" s="1"/>
  <c r="P8" i="3"/>
  <c r="P10" i="3"/>
  <c r="O8" i="3"/>
  <c r="O10" i="3" s="1"/>
  <c r="Q42" i="15"/>
  <c r="Q58" i="15"/>
  <c r="Q56" i="15"/>
  <c r="Q40" i="15"/>
  <c r="C12" i="17"/>
  <c r="C11" i="17"/>
  <c r="E11" i="17" s="1"/>
  <c r="C5" i="17"/>
  <c r="C3" i="17"/>
  <c r="C15" i="17"/>
  <c r="R9" i="18"/>
  <c r="Q9" i="18"/>
  <c r="P9" i="18"/>
  <c r="O9" i="18"/>
  <c r="R5" i="18"/>
  <c r="R4" i="18"/>
  <c r="N5" i="18"/>
  <c r="M5" i="18"/>
  <c r="N4" i="18"/>
  <c r="M4" i="18"/>
  <c r="N6" i="18"/>
  <c r="M6" i="18"/>
  <c r="R6" i="18"/>
  <c r="R4" i="3"/>
  <c r="R6" i="3"/>
  <c r="R18" i="3"/>
  <c r="R8" i="18" s="1"/>
  <c r="O4" i="3"/>
  <c r="O6" i="3"/>
  <c r="O9" i="3"/>
  <c r="M18" i="3"/>
  <c r="M8" i="18" s="1"/>
  <c r="O49" i="2"/>
  <c r="O51" i="2"/>
  <c r="P16" i="18"/>
  <c r="O16" i="18"/>
  <c r="R17" i="15"/>
  <c r="L49" i="2"/>
  <c r="L51" i="2" s="1"/>
  <c r="K49" i="2"/>
  <c r="K51" i="2"/>
  <c r="J49" i="2"/>
  <c r="J51" i="2" s="1"/>
  <c r="I49" i="2"/>
  <c r="I51" i="2"/>
  <c r="C13" i="17"/>
  <c r="P5" i="18"/>
  <c r="O5" i="18"/>
  <c r="Q5" i="18"/>
  <c r="Q6" i="18" s="1"/>
  <c r="Q4" i="18"/>
  <c r="Q18" i="3"/>
  <c r="Q8" i="18" s="1"/>
  <c r="O18" i="3"/>
  <c r="O8" i="18"/>
  <c r="O4" i="18"/>
  <c r="O6" i="18" s="1"/>
  <c r="P4" i="18"/>
  <c r="P4" i="3"/>
  <c r="P6" i="3"/>
  <c r="Q4" i="3"/>
  <c r="Q6" i="3" s="1"/>
  <c r="Q17" i="15"/>
  <c r="P17" i="15"/>
  <c r="O17" i="15"/>
  <c r="N17" i="15"/>
  <c r="M17" i="15"/>
  <c r="E16" i="17"/>
  <c r="I16" i="17" s="1"/>
  <c r="E14" i="17"/>
  <c r="E12" i="17"/>
  <c r="I12" i="17"/>
  <c r="P17" i="18"/>
  <c r="N17" i="18"/>
  <c r="C7" i="17"/>
  <c r="C6" i="17"/>
  <c r="F6" i="17" s="1"/>
  <c r="E8" i="17"/>
  <c r="F8" i="17"/>
  <c r="P19" i="18"/>
  <c r="G12" i="17"/>
  <c r="F12" i="17"/>
  <c r="O17" i="3"/>
  <c r="N18" i="3"/>
  <c r="N8" i="18" s="1"/>
  <c r="O14" i="3"/>
  <c r="O11" i="3"/>
  <c r="O12" i="3" s="1"/>
  <c r="O22" i="18" s="1"/>
  <c r="N17" i="3"/>
  <c r="P6" i="18"/>
  <c r="M49" i="2"/>
  <c r="M51" i="2"/>
  <c r="I14" i="17"/>
  <c r="G14" i="17"/>
  <c r="H14" i="17"/>
  <c r="F14" i="17"/>
  <c r="C4" i="17"/>
  <c r="E5" i="17"/>
  <c r="H5" i="17" s="1"/>
  <c r="G5" i="17"/>
  <c r="E3" i="17"/>
  <c r="H3" i="17" s="1"/>
  <c r="N49" i="2"/>
  <c r="N51" i="2"/>
  <c r="G16" i="17"/>
  <c r="Q9" i="3"/>
  <c r="Q14" i="3" s="1"/>
  <c r="H12" i="17"/>
  <c r="P18" i="3"/>
  <c r="P8" i="18"/>
  <c r="P9" i="3"/>
  <c r="P17" i="3" s="1"/>
  <c r="Q49" i="2"/>
  <c r="Q51" i="2" s="1"/>
  <c r="M17" i="18"/>
  <c r="E7" i="17"/>
  <c r="I8" i="17"/>
  <c r="G8" i="17"/>
  <c r="E6" i="17"/>
  <c r="G6" i="17" s="1"/>
  <c r="H8" i="17"/>
  <c r="C9" i="17"/>
  <c r="I11" i="17"/>
  <c r="F11" i="17"/>
  <c r="R11" i="3"/>
  <c r="R17" i="3"/>
  <c r="O20" i="3"/>
  <c r="M17" i="3"/>
  <c r="O13" i="3"/>
  <c r="O15" i="3" s="1"/>
  <c r="M21" i="3"/>
  <c r="F5" i="17"/>
  <c r="O22" i="3"/>
  <c r="O23" i="3"/>
  <c r="N23" i="3"/>
  <c r="N26" i="18" s="1"/>
  <c r="E18" i="17"/>
  <c r="H18" i="17" s="1"/>
  <c r="P14" i="3"/>
  <c r="P31" i="3" s="1"/>
  <c r="I3" i="17"/>
  <c r="Q17" i="3"/>
  <c r="G3" i="17"/>
  <c r="F3" i="17"/>
  <c r="E15" i="17"/>
  <c r="F15" i="17" s="1"/>
  <c r="C17" i="17"/>
  <c r="C24" i="17"/>
  <c r="I5" i="17"/>
  <c r="E4" i="17"/>
  <c r="G4" i="17"/>
  <c r="Q11" i="3"/>
  <c r="O59" i="15"/>
  <c r="O61" i="15" s="1"/>
  <c r="O29" i="3" s="1"/>
  <c r="I7" i="17"/>
  <c r="H7" i="17"/>
  <c r="H6" i="17"/>
  <c r="I6" i="17"/>
  <c r="L35" i="3"/>
  <c r="L36" i="3" s="1"/>
  <c r="M22" i="3"/>
  <c r="M24" i="18"/>
  <c r="C21" i="17"/>
  <c r="E9" i="17"/>
  <c r="G9" i="17"/>
  <c r="M20" i="3"/>
  <c r="O21" i="18"/>
  <c r="R23" i="3"/>
  <c r="R26" i="18" s="1"/>
  <c r="G15" i="17"/>
  <c r="R12" i="3"/>
  <c r="R22" i="18"/>
  <c r="R22" i="3"/>
  <c r="R24" i="18"/>
  <c r="R20" i="3"/>
  <c r="O21" i="3"/>
  <c r="O23" i="18" s="1"/>
  <c r="M23" i="3"/>
  <c r="R13" i="3"/>
  <c r="R21" i="3" s="1"/>
  <c r="R23" i="18" s="1"/>
  <c r="M12" i="3"/>
  <c r="M22" i="18"/>
  <c r="O26" i="18"/>
  <c r="O24" i="18"/>
  <c r="F4" i="17"/>
  <c r="I18" i="17"/>
  <c r="F18" i="17"/>
  <c r="M23" i="18"/>
  <c r="P22" i="3"/>
  <c r="P24" i="18" s="1"/>
  <c r="P23" i="3"/>
  <c r="P26" i="18"/>
  <c r="Q12" i="3"/>
  <c r="Q22" i="18" s="1"/>
  <c r="Q20" i="3"/>
  <c r="Q13" i="3"/>
  <c r="O25" i="3"/>
  <c r="O27" i="18" s="1"/>
  <c r="O24" i="3"/>
  <c r="O25" i="18" s="1"/>
  <c r="H4" i="17"/>
  <c r="I4" i="17"/>
  <c r="I24" i="17"/>
  <c r="E24" i="17" s="1"/>
  <c r="H15" i="17"/>
  <c r="I15" i="17"/>
  <c r="I17" i="17" s="1"/>
  <c r="E17" i="17" s="1"/>
  <c r="C26" i="17"/>
  <c r="C19" i="17"/>
  <c r="M34" i="3"/>
  <c r="N34" i="3"/>
  <c r="O27" i="3"/>
  <c r="O28" i="18" s="1"/>
  <c r="F9" i="17"/>
  <c r="I9" i="17"/>
  <c r="H9" i="17"/>
  <c r="M21" i="18"/>
  <c r="Q21" i="18"/>
  <c r="M26" i="18"/>
  <c r="R21" i="18"/>
  <c r="R15" i="3"/>
  <c r="R59" i="15" s="1"/>
  <c r="C30" i="17"/>
  <c r="C31" i="17"/>
  <c r="E21" i="17"/>
  <c r="G21" i="17" s="1"/>
  <c r="C28" i="17"/>
  <c r="C20" i="17"/>
  <c r="C22" i="17" s="1"/>
  <c r="Q21" i="3"/>
  <c r="Q34" i="3"/>
  <c r="P34" i="3"/>
  <c r="I30" i="17"/>
  <c r="E30" i="17" s="1"/>
  <c r="R24" i="3"/>
  <c r="R25" i="18" s="1"/>
  <c r="R25" i="3"/>
  <c r="F21" i="17"/>
  <c r="Q23" i="18"/>
  <c r="I21" i="17"/>
  <c r="C29" i="17"/>
  <c r="R27" i="18"/>
  <c r="R61" i="15" l="1"/>
  <c r="R29" i="3" s="1"/>
  <c r="R27" i="3"/>
  <c r="R28" i="18" s="1"/>
  <c r="Q15" i="3"/>
  <c r="P32" i="3"/>
  <c r="P35" i="3"/>
  <c r="P36" i="3" s="1"/>
  <c r="F17" i="17"/>
  <c r="G17" i="17"/>
  <c r="H17" i="17"/>
  <c r="I26" i="17"/>
  <c r="E26" i="17" s="1"/>
  <c r="I31" i="17"/>
  <c r="E31" i="17" s="1"/>
  <c r="D17" i="17"/>
  <c r="Q22" i="3"/>
  <c r="Q24" i="18" s="1"/>
  <c r="Q23" i="3"/>
  <c r="Q26" i="18" s="1"/>
  <c r="D30" i="17"/>
  <c r="H30" i="17"/>
  <c r="C33" i="17"/>
  <c r="C32" i="17"/>
  <c r="C37" i="17"/>
  <c r="F30" i="17"/>
  <c r="H24" i="17"/>
  <c r="F24" i="17"/>
  <c r="G24" i="17"/>
  <c r="D24" i="17"/>
  <c r="G30" i="17"/>
  <c r="G18" i="17"/>
  <c r="G7" i="17"/>
  <c r="K22" i="3"/>
  <c r="K24" i="18" s="1"/>
  <c r="K23" i="3"/>
  <c r="K26" i="18" s="1"/>
  <c r="P11" i="3"/>
  <c r="G31" i="3"/>
  <c r="G32" i="3" s="1"/>
  <c r="G23" i="3"/>
  <c r="G26" i="18" s="1"/>
  <c r="G22" i="3"/>
  <c r="G24" i="18" s="1"/>
  <c r="H21" i="17"/>
  <c r="I13" i="17"/>
  <c r="G11" i="17"/>
  <c r="H11" i="17"/>
  <c r="J22" i="3"/>
  <c r="J24" i="18" s="1"/>
  <c r="J23" i="3"/>
  <c r="J26" i="18" s="1"/>
  <c r="F7" i="17"/>
  <c r="H16" i="17"/>
  <c r="F16" i="17"/>
  <c r="I54" i="2"/>
  <c r="M54" i="2"/>
  <c r="I19" i="2"/>
  <c r="I21" i="2" s="1"/>
  <c r="I24" i="2" s="1"/>
  <c r="I26" i="2"/>
  <c r="I16" i="18" s="1"/>
  <c r="I29" i="2"/>
  <c r="O19" i="2"/>
  <c r="O21" i="2" s="1"/>
  <c r="O24" i="2" s="1"/>
  <c r="O29" i="2"/>
  <c r="O19" i="18" s="1"/>
  <c r="O14" i="18"/>
  <c r="G14" i="18"/>
  <c r="G29" i="2"/>
  <c r="G19" i="18" s="1"/>
  <c r="G19" i="2"/>
  <c r="G21" i="2" s="1"/>
  <c r="G24" i="2" s="1"/>
  <c r="G26" i="2"/>
  <c r="G16" i="18" s="1"/>
  <c r="F33" i="3"/>
  <c r="F17" i="18"/>
  <c r="O28" i="2"/>
  <c r="O15" i="18"/>
  <c r="E15" i="3"/>
  <c r="I15" i="3"/>
  <c r="M15" i="3"/>
  <c r="M26" i="2"/>
  <c r="M16" i="18" s="1"/>
  <c r="M19" i="2"/>
  <c r="M21" i="2" s="1"/>
  <c r="M24" i="2" s="1"/>
  <c r="M29" i="2"/>
  <c r="F29" i="2"/>
  <c r="F19" i="18" s="1"/>
  <c r="F26" i="2"/>
  <c r="F16" i="18" s="1"/>
  <c r="F19" i="2"/>
  <c r="F21" i="2" s="1"/>
  <c r="F24" i="2" s="1"/>
  <c r="F14" i="18"/>
  <c r="E34" i="3"/>
  <c r="K28" i="2"/>
  <c r="K15" i="18"/>
  <c r="R33" i="3"/>
  <c r="R17" i="18"/>
  <c r="H12" i="3"/>
  <c r="H22" i="18" s="1"/>
  <c r="H13" i="3"/>
  <c r="L11" i="3"/>
  <c r="J26" i="2"/>
  <c r="J16" i="18" s="1"/>
  <c r="J19" i="2"/>
  <c r="J21" i="2" s="1"/>
  <c r="J24" i="2" s="1"/>
  <c r="J29" i="2"/>
  <c r="J19" i="18" s="1"/>
  <c r="J14" i="18"/>
  <c r="Q29" i="2"/>
  <c r="Q19" i="18" s="1"/>
  <c r="Q19" i="2"/>
  <c r="Q21" i="2" s="1"/>
  <c r="Q24" i="2" s="1"/>
  <c r="R29" i="2"/>
  <c r="R19" i="18" s="1"/>
  <c r="R19" i="2"/>
  <c r="R21" i="2" s="1"/>
  <c r="R24" i="2" s="1"/>
  <c r="R26" i="2"/>
  <c r="R16" i="18" s="1"/>
  <c r="R14" i="18"/>
  <c r="G28" i="2"/>
  <c r="G15" i="18"/>
  <c r="E28" i="3"/>
  <c r="G11" i="3"/>
  <c r="K11" i="3"/>
  <c r="N54" i="2"/>
  <c r="K19" i="2"/>
  <c r="K21" i="2" s="1"/>
  <c r="K24" i="2" s="1"/>
  <c r="K29" i="2"/>
  <c r="K19" i="18" s="1"/>
  <c r="K14" i="18"/>
  <c r="N26" i="2"/>
  <c r="N16" i="18" s="1"/>
  <c r="N19" i="2"/>
  <c r="N21" i="2" s="1"/>
  <c r="N24" i="2" s="1"/>
  <c r="N29" i="2"/>
  <c r="N14" i="18"/>
  <c r="R31" i="3"/>
  <c r="E19" i="2"/>
  <c r="E21" i="2" s="1"/>
  <c r="E24" i="2" s="1"/>
  <c r="E14" i="18"/>
  <c r="E29" i="2"/>
  <c r="E26" i="2"/>
  <c r="E16" i="18" s="1"/>
  <c r="H17" i="18"/>
  <c r="H54" i="2"/>
  <c r="H33" i="3"/>
  <c r="J33" i="3"/>
  <c r="J54" i="2"/>
  <c r="I28" i="3"/>
  <c r="F31" i="3"/>
  <c r="F32" i="3" s="1"/>
  <c r="F11" i="3"/>
  <c r="J11" i="3"/>
  <c r="N11" i="3"/>
  <c r="E39" i="15"/>
  <c r="R32" i="3" l="1"/>
  <c r="C35" i="17"/>
  <c r="N13" i="3"/>
  <c r="N20" i="3"/>
  <c r="N21" i="18" s="1"/>
  <c r="N12" i="3"/>
  <c r="N22" i="18" s="1"/>
  <c r="F12" i="3"/>
  <c r="F22" i="18" s="1"/>
  <c r="F13" i="3"/>
  <c r="F20" i="3"/>
  <c r="F21" i="18" s="1"/>
  <c r="G54" i="2"/>
  <c r="G33" i="3"/>
  <c r="G17" i="18"/>
  <c r="H15" i="3"/>
  <c r="H21" i="3"/>
  <c r="H23" i="18" s="1"/>
  <c r="R34" i="3"/>
  <c r="R35" i="3"/>
  <c r="R36" i="3" s="1"/>
  <c r="M59" i="15"/>
  <c r="M24" i="3"/>
  <c r="M25" i="18" s="1"/>
  <c r="M25" i="3"/>
  <c r="M27" i="18" s="1"/>
  <c r="F35" i="3"/>
  <c r="F36" i="3" s="1"/>
  <c r="F34" i="3"/>
  <c r="I19" i="18"/>
  <c r="I31" i="3"/>
  <c r="K31" i="3"/>
  <c r="K32" i="3" s="1"/>
  <c r="C38" i="17"/>
  <c r="C39" i="17"/>
  <c r="D31" i="17"/>
  <c r="F31" i="17"/>
  <c r="H31" i="17"/>
  <c r="G31" i="17"/>
  <c r="M31" i="3"/>
  <c r="M19" i="18"/>
  <c r="I59" i="15"/>
  <c r="I24" i="3"/>
  <c r="I25" i="18" s="1"/>
  <c r="I25" i="3"/>
  <c r="I27" i="18" s="1"/>
  <c r="E13" i="17"/>
  <c r="I19" i="17"/>
  <c r="H26" i="17"/>
  <c r="F26" i="17"/>
  <c r="G26" i="17"/>
  <c r="D26" i="17"/>
  <c r="J35" i="3"/>
  <c r="J36" i="3" s="1"/>
  <c r="J34" i="3"/>
  <c r="H35" i="3"/>
  <c r="H36" i="3" s="1"/>
  <c r="H34" i="3"/>
  <c r="E59" i="15"/>
  <c r="E24" i="3"/>
  <c r="E25" i="18" s="1"/>
  <c r="E25" i="3"/>
  <c r="E27" i="18" s="1"/>
  <c r="O33" i="3"/>
  <c r="O54" i="2"/>
  <c r="O17" i="18"/>
  <c r="J31" i="3"/>
  <c r="J32" i="3" s="1"/>
  <c r="O31" i="3"/>
  <c r="O32" i="3" s="1"/>
  <c r="Q31" i="3"/>
  <c r="E19" i="18"/>
  <c r="E31" i="3"/>
  <c r="K13" i="3"/>
  <c r="K20" i="3"/>
  <c r="K21" i="18" s="1"/>
  <c r="K12" i="3"/>
  <c r="K22" i="18" s="1"/>
  <c r="K54" i="2"/>
  <c r="K33" i="3"/>
  <c r="K17" i="18"/>
  <c r="J13" i="3"/>
  <c r="J12" i="3"/>
  <c r="J22" i="18" s="1"/>
  <c r="J20" i="3"/>
  <c r="J21" i="18" s="1"/>
  <c r="N19" i="18"/>
  <c r="N31" i="3"/>
  <c r="G13" i="3"/>
  <c r="G20" i="3"/>
  <c r="G21" i="18" s="1"/>
  <c r="G12" i="3"/>
  <c r="G22" i="18" s="1"/>
  <c r="L13" i="3"/>
  <c r="L20" i="3"/>
  <c r="L21" i="18" s="1"/>
  <c r="L12" i="3"/>
  <c r="L22" i="18" s="1"/>
  <c r="P13" i="3"/>
  <c r="P12" i="3"/>
  <c r="P22" i="18" s="1"/>
  <c r="P20" i="3"/>
  <c r="P21" i="18" s="1"/>
  <c r="Q59" i="15"/>
  <c r="Q24" i="3"/>
  <c r="Q25" i="18" s="1"/>
  <c r="Q25" i="3"/>
  <c r="Q27" i="18" s="1"/>
  <c r="N35" i="3" l="1"/>
  <c r="N36" i="3" s="1"/>
  <c r="N32" i="3"/>
  <c r="J15" i="3"/>
  <c r="J21" i="3"/>
  <c r="J23" i="18" s="1"/>
  <c r="E27" i="3"/>
  <c r="E28" i="18" s="1"/>
  <c r="E61" i="15"/>
  <c r="E29" i="3" s="1"/>
  <c r="M27" i="3"/>
  <c r="M28" i="18" s="1"/>
  <c r="M61" i="15"/>
  <c r="M29" i="3" s="1"/>
  <c r="H59" i="15"/>
  <c r="H24" i="3"/>
  <c r="H25" i="18" s="1"/>
  <c r="H25" i="3"/>
  <c r="H27" i="18" s="1"/>
  <c r="Q32" i="3"/>
  <c r="Q35" i="3"/>
  <c r="Q36" i="3" s="1"/>
  <c r="O34" i="3"/>
  <c r="O35" i="3"/>
  <c r="O36" i="3" s="1"/>
  <c r="E19" i="17"/>
  <c r="I20" i="17"/>
  <c r="I27" i="3"/>
  <c r="I28" i="18" s="1"/>
  <c r="I61" i="15"/>
  <c r="I29" i="3" s="1"/>
  <c r="F15" i="3"/>
  <c r="F21" i="3"/>
  <c r="F23" i="18" s="1"/>
  <c r="N15" i="3"/>
  <c r="N21" i="3"/>
  <c r="N23" i="18" s="1"/>
  <c r="P15" i="3"/>
  <c r="P21" i="3"/>
  <c r="P23" i="18" s="1"/>
  <c r="K34" i="3"/>
  <c r="K35" i="3"/>
  <c r="K36" i="3" s="1"/>
  <c r="K15" i="3"/>
  <c r="K21" i="3"/>
  <c r="K23" i="18" s="1"/>
  <c r="H13" i="17"/>
  <c r="G13" i="17"/>
  <c r="D13" i="17"/>
  <c r="F13" i="17"/>
  <c r="C40" i="17"/>
  <c r="I32" i="3"/>
  <c r="I35" i="3"/>
  <c r="I36" i="3" s="1"/>
  <c r="G35" i="3"/>
  <c r="G36" i="3" s="1"/>
  <c r="G34" i="3"/>
  <c r="C36" i="17"/>
  <c r="I35" i="17"/>
  <c r="E35" i="17" s="1"/>
  <c r="F35" i="17"/>
  <c r="G35" i="17"/>
  <c r="L15" i="3"/>
  <c r="L21" i="3"/>
  <c r="L23" i="18" s="1"/>
  <c r="Q27" i="3"/>
  <c r="Q28" i="18" s="1"/>
  <c r="Q61" i="15"/>
  <c r="Q29" i="3" s="1"/>
  <c r="G15" i="3"/>
  <c r="G21" i="3"/>
  <c r="G23" i="18" s="1"/>
  <c r="E32" i="3"/>
  <c r="E35" i="3"/>
  <c r="E36" i="3" s="1"/>
  <c r="M32" i="3"/>
  <c r="M35" i="3"/>
  <c r="M36" i="3" s="1"/>
  <c r="G59" i="15" l="1"/>
  <c r="G24" i="3"/>
  <c r="G25" i="18" s="1"/>
  <c r="G25" i="3"/>
  <c r="G27" i="18" s="1"/>
  <c r="L59" i="15"/>
  <c r="L25" i="3"/>
  <c r="L27" i="18" s="1"/>
  <c r="L24" i="3"/>
  <c r="L25" i="18" s="1"/>
  <c r="I36" i="17"/>
  <c r="E36" i="17" s="1"/>
  <c r="E20" i="17"/>
  <c r="I22" i="17"/>
  <c r="E22" i="17" s="1"/>
  <c r="H61" i="15"/>
  <c r="H29" i="3" s="1"/>
  <c r="H27" i="3"/>
  <c r="H28" i="18" s="1"/>
  <c r="K59" i="15"/>
  <c r="K25" i="3"/>
  <c r="K27" i="18" s="1"/>
  <c r="K24" i="3"/>
  <c r="K25" i="18" s="1"/>
  <c r="P25" i="3"/>
  <c r="P27" i="18" s="1"/>
  <c r="P24" i="3"/>
  <c r="P25" i="18" s="1"/>
  <c r="P59" i="15"/>
  <c r="F59" i="15"/>
  <c r="F25" i="3"/>
  <c r="F27" i="18" s="1"/>
  <c r="F24" i="3"/>
  <c r="F25" i="18" s="1"/>
  <c r="G19" i="17"/>
  <c r="I28" i="17"/>
  <c r="E28" i="17" s="1"/>
  <c r="D19" i="17"/>
  <c r="H19" i="17"/>
  <c r="F19" i="17"/>
  <c r="J59" i="15"/>
  <c r="J25" i="3"/>
  <c r="J27" i="18" s="1"/>
  <c r="J24" i="3"/>
  <c r="J25" i="18" s="1"/>
  <c r="H35" i="17"/>
  <c r="D35" i="17"/>
  <c r="N59" i="15"/>
  <c r="N24" i="3"/>
  <c r="N25" i="18" s="1"/>
  <c r="N25" i="3"/>
  <c r="N27" i="18" s="1"/>
  <c r="H36" i="17" l="1"/>
  <c r="D36" i="17"/>
  <c r="G27" i="3"/>
  <c r="G28" i="18" s="1"/>
  <c r="G61" i="15"/>
  <c r="G29" i="3" s="1"/>
  <c r="D28" i="17"/>
  <c r="H28" i="17"/>
  <c r="F28" i="17"/>
  <c r="G28" i="17"/>
  <c r="F27" i="3"/>
  <c r="F28" i="18" s="1"/>
  <c r="F61" i="15"/>
  <c r="F29" i="3" s="1"/>
  <c r="F36" i="17"/>
  <c r="L61" i="15"/>
  <c r="L29" i="3" s="1"/>
  <c r="L27" i="3"/>
  <c r="L28" i="18" s="1"/>
  <c r="N27" i="3"/>
  <c r="N28" i="18" s="1"/>
  <c r="N61" i="15"/>
  <c r="N29" i="3" s="1"/>
  <c r="J27" i="3"/>
  <c r="J28" i="18" s="1"/>
  <c r="J61" i="15"/>
  <c r="J29" i="3" s="1"/>
  <c r="P61" i="15"/>
  <c r="P29" i="3" s="1"/>
  <c r="P27" i="3"/>
  <c r="P28" i="18" s="1"/>
  <c r="D22" i="17"/>
  <c r="H22" i="17"/>
  <c r="F22" i="17"/>
  <c r="G22" i="17"/>
  <c r="I37" i="17"/>
  <c r="I32" i="17"/>
  <c r="E32" i="17" s="1"/>
  <c r="I33" i="17"/>
  <c r="E33" i="17" s="1"/>
  <c r="G36" i="17"/>
  <c r="K27" i="3"/>
  <c r="K28" i="18" s="1"/>
  <c r="K61" i="15"/>
  <c r="K29" i="3" s="1"/>
  <c r="H20" i="17"/>
  <c r="F20" i="17"/>
  <c r="I29" i="17"/>
  <c r="E29" i="17" s="1"/>
  <c r="D20" i="17"/>
  <c r="G20" i="17"/>
  <c r="E37" i="17" l="1"/>
  <c r="I39" i="17"/>
  <c r="E39" i="17" s="1"/>
  <c r="H29" i="17"/>
  <c r="D29" i="17"/>
  <c r="F29" i="17"/>
  <c r="G29" i="17"/>
  <c r="H33" i="17"/>
  <c r="D33" i="17"/>
  <c r="F33" i="17"/>
  <c r="G33" i="17"/>
  <c r="H32" i="17"/>
  <c r="D32" i="17"/>
  <c r="F32" i="17"/>
  <c r="G32" i="17"/>
  <c r="H39" i="17" l="1"/>
  <c r="D39" i="17"/>
  <c r="G39" i="17"/>
  <c r="F39" i="17"/>
  <c r="I40" i="17"/>
  <c r="E40" i="17" s="1"/>
  <c r="D37" i="17"/>
  <c r="H37" i="17"/>
  <c r="F37" i="17"/>
  <c r="G37" i="17"/>
  <c r="I38" i="17"/>
  <c r="E38" i="17" s="1"/>
  <c r="H38" i="17" l="1"/>
  <c r="D38" i="17"/>
  <c r="G38" i="17"/>
  <c r="F38" i="17"/>
  <c r="D40" i="17"/>
  <c r="H40" i="17"/>
  <c r="G40" i="17"/>
  <c r="F40" i="17"/>
</calcChain>
</file>

<file path=xl/sharedStrings.xml><?xml version="1.0" encoding="utf-8"?>
<sst xmlns="http://schemas.openxmlformats.org/spreadsheetml/2006/main" count="318" uniqueCount="255">
  <si>
    <t>EBITDA</t>
  </si>
  <si>
    <t>EBIT</t>
  </si>
  <si>
    <t>Connection Density  (Conn/km)</t>
  </si>
  <si>
    <t>Average Water Network Mains Length (km)</t>
  </si>
  <si>
    <t xml:space="preserve">Average No. of Water Connections </t>
  </si>
  <si>
    <t>Average Network Pressure (m)</t>
  </si>
  <si>
    <t>NRW, L/Connection/ Day</t>
  </si>
  <si>
    <t>Real Losses, m3/km/day</t>
  </si>
  <si>
    <t>Real Losses, L / Connection / Day</t>
  </si>
  <si>
    <t>APPROXIMATE TOP DOWN WATER AUDIT</t>
  </si>
  <si>
    <t>Value in Analysis Year</t>
  </si>
  <si>
    <t xml:space="preserve">YEAR = </t>
  </si>
  <si>
    <t>Notes</t>
  </si>
  <si>
    <t>Notes on Sources, Reliability, Trends</t>
  </si>
  <si>
    <t>ERROR ANALYSIS TOP DOWN WATER AUDIT</t>
  </si>
  <si>
    <t>Apparent Losses / Billed Authorized Consumption</t>
  </si>
  <si>
    <t>Average Sales Price of Water</t>
  </si>
  <si>
    <t>Percentage Error</t>
  </si>
  <si>
    <t>NRW PERFORMANCE</t>
  </si>
  <si>
    <t>Meter Inaccuracies / Billed Authorized Consumption</t>
  </si>
  <si>
    <t>Data Handling Errors / Billed Authorized Consumption</t>
  </si>
  <si>
    <t>Billing System Errors / Billed Authorized Consumption</t>
  </si>
  <si>
    <t>Standard Deviation</t>
  </si>
  <si>
    <t>Low Value :  Value - 2 SD</t>
  </si>
  <si>
    <t>High Value :  Value - 2 SD</t>
  </si>
  <si>
    <t>Variance</t>
  </si>
  <si>
    <t>95% Range,           4 * SD</t>
  </si>
  <si>
    <t>This tab helps understand the level of certainty or uncertainty in the information available and where accuracy need be improved</t>
  </si>
  <si>
    <t>Apparent Losses, L / Connection / Day</t>
  </si>
  <si>
    <t>Uncertainty Rank</t>
  </si>
  <si>
    <t>Water Losses, L/Connection/Day</t>
  </si>
  <si>
    <t>Inputs</t>
  </si>
  <si>
    <t>Uses</t>
  </si>
  <si>
    <t>NRW &amp; Losses</t>
  </si>
  <si>
    <t>Value of Losses</t>
  </si>
  <si>
    <t>Billed Authorized Consumption - metered, L/Conn/Day</t>
  </si>
  <si>
    <t>Billed Authorized Consumption - unmetered, L/Conn/Day</t>
  </si>
  <si>
    <t>Total Billed Authorized Consumption,L/Conn/Day</t>
  </si>
  <si>
    <t>Value of Apparent Losses, $1000</t>
  </si>
  <si>
    <t>Value of Real Losses, $1000</t>
  </si>
  <si>
    <t>Variable Cost of Water Production</t>
  </si>
  <si>
    <t>USE</t>
  </si>
  <si>
    <t>Non-Revenue Water, 1000 m3/yr</t>
  </si>
  <si>
    <t xml:space="preserve">No. of Water Connections </t>
  </si>
  <si>
    <t>Total Billed Authorized Consumption, m3/conn/month</t>
  </si>
  <si>
    <t>WATER SYSTEM ATTRIBUTES</t>
  </si>
  <si>
    <t xml:space="preserve">Local Water Production (1000 m3/yr) </t>
  </si>
  <si>
    <t>Imported water (1000 m3/yr)</t>
  </si>
  <si>
    <t xml:space="preserve">Total System Input Volume (1000 m3/yr) </t>
  </si>
  <si>
    <t>Billed Exported water (1000 m3/yr)</t>
  </si>
  <si>
    <t>Billed Authorized Consumption - metered, 1000 m3/yr</t>
  </si>
  <si>
    <t>Total Billed Authorized Consumption, 1000 m3/yr</t>
  </si>
  <si>
    <t>Unbilled Authorized Consumption, 1000 m3/yr</t>
  </si>
  <si>
    <t>Total Water Losses, 1000 m3/yr</t>
  </si>
  <si>
    <t>Apparent Losses, 1000 m3/yr</t>
  </si>
  <si>
    <t>Real Losses, 1000 m3/yr</t>
  </si>
  <si>
    <t>Billed Authorized Consumption - unmetered, 1000 m3/yr</t>
  </si>
  <si>
    <t>Number of Customers (Accounts)</t>
  </si>
  <si>
    <t>Water Network Mains Length (km)</t>
  </si>
  <si>
    <t>Número de conexiones de agua</t>
  </si>
  <si>
    <t>Número de conexiones de alcantarillado</t>
  </si>
  <si>
    <t>Clase metrologica tipica de los medidores residenciales</t>
  </si>
  <si>
    <t>Edad promedio de los medidores, años</t>
  </si>
  <si>
    <t>Presión promedio de servicio, mca</t>
  </si>
  <si>
    <t>Continuidad del servicio, %</t>
  </si>
  <si>
    <t>% de clientes con tanques elevados</t>
  </si>
  <si>
    <t>% de clientes con intermitencia del servicio</t>
  </si>
  <si>
    <t>Producción total, 1000 m3/año</t>
  </si>
  <si>
    <t>Utilización de la capacidad instalada, %</t>
  </si>
  <si>
    <t>Volumen total de agua facturada, 1000 m3/año</t>
  </si>
  <si>
    <t>Agua No Facturada, L/Con/Día</t>
  </si>
  <si>
    <t>Agua No Facturada, %</t>
  </si>
  <si>
    <t>Atributos del sistema + Operación</t>
  </si>
  <si>
    <t>Año</t>
  </si>
  <si>
    <t>Edad promedio de las redes, años</t>
  </si>
  <si>
    <t>Ingresos por venta de agua potable</t>
  </si>
  <si>
    <t>Ingresos por servicio de alcantarillado</t>
  </si>
  <si>
    <t>Otros ingresos operacionales</t>
  </si>
  <si>
    <t>Total de ingresos</t>
  </si>
  <si>
    <t>Costos operacionales</t>
  </si>
  <si>
    <t>Costos de operación acueducto</t>
  </si>
  <si>
    <t>Costos de operación alcantarillado</t>
  </si>
  <si>
    <t>Costos de adminsitración</t>
  </si>
  <si>
    <t>Otros costos de operación</t>
  </si>
  <si>
    <t>Costo unitario de producción, $/m3 agua producida</t>
  </si>
  <si>
    <t>Información financiera</t>
  </si>
  <si>
    <t>Cobertura de costos de operación</t>
  </si>
  <si>
    <t>Porcentaje de recaudación</t>
  </si>
  <si>
    <t>Utilidad neta (pérdida)</t>
  </si>
  <si>
    <t>Ingresos</t>
  </si>
  <si>
    <t>Depreciación y amortización</t>
  </si>
  <si>
    <t>Costos de operación sistema de agua potable</t>
  </si>
  <si>
    <t>Costo de compra de agua a terceros</t>
  </si>
  <si>
    <t>Costos de energía electrica</t>
  </si>
  <si>
    <t>Costo de quimicos</t>
  </si>
  <si>
    <t>Costos totales de operación</t>
  </si>
  <si>
    <t>Costo variable de O&amp;M, $ / m3 agua producida</t>
  </si>
  <si>
    <t>Otros ingresos no operacionales</t>
  </si>
  <si>
    <t>Intereses</t>
  </si>
  <si>
    <t>Impuestos</t>
  </si>
  <si>
    <t>Contratos con terceros</t>
  </si>
  <si>
    <t>Costo de personal propio</t>
  </si>
  <si>
    <t>Costo de personal externo</t>
  </si>
  <si>
    <t>Tarifa efectiva promedio del servicio de agua</t>
  </si>
  <si>
    <t>Reparación y mantenimiento de las plantas y otras instalaciones (OPEX)</t>
  </si>
  <si>
    <t>Reparación y mantenimiento de las redes y accesorios (OPEX)</t>
  </si>
  <si>
    <t>Número de fugas visibles - redes</t>
  </si>
  <si>
    <t>Número de fugas visibles - acometidas</t>
  </si>
  <si>
    <t>Número de fugas no visibles - redes</t>
  </si>
  <si>
    <t>Número de fugas no visibles - acometidas</t>
  </si>
  <si>
    <t>Total de fugas visibles en redes / km / año</t>
  </si>
  <si>
    <t>Total de fugas visibles en conexiones/ 1000 conexiones / año</t>
  </si>
  <si>
    <t>Total de fugas no visibles en redes / km / año</t>
  </si>
  <si>
    <t>Total de fugas no visibles en conexiones/ 1000 conexiones / año</t>
  </si>
  <si>
    <t>Agua No Facturada, 1000 m3/año</t>
  </si>
  <si>
    <t>Agua importada o en bloque, 1000 m3/año</t>
  </si>
  <si>
    <t>Capacidad de producción total, 1000 m3/año</t>
  </si>
  <si>
    <t>Longitud de las redes, km</t>
  </si>
  <si>
    <t>Material mas frecuente de las tuberías</t>
  </si>
  <si>
    <t>Densidad de conexión agua (conexión/km)</t>
  </si>
  <si>
    <t xml:space="preserve">Numero promedio de clientes con medidor </t>
  </si>
  <si>
    <t>% de clientes con medición efectiva</t>
  </si>
  <si>
    <t>Número de pilas publicas existentes</t>
  </si>
  <si>
    <t>Población atendida por pilas publicas</t>
  </si>
  <si>
    <t>Población atendida por carrotanques/cisternas</t>
  </si>
  <si>
    <t>Población atendida por el servicio de agua</t>
  </si>
  <si>
    <t>Volumen total de agua inyectado al sistema de distribución, 1000m3/año</t>
  </si>
  <si>
    <t>TOTAL</t>
  </si>
  <si>
    <t>Non-Revenue Water, %</t>
  </si>
  <si>
    <t>Unbilled Authorized Consumption, 1000 m3/yr (3%)</t>
  </si>
  <si>
    <t>SUMMARY - TRENDS</t>
  </si>
  <si>
    <t>Operating Cost Coverage Ratio</t>
  </si>
  <si>
    <t>Continuity of Service, %</t>
  </si>
  <si>
    <t>Billed Water, m3/conn/month</t>
  </si>
  <si>
    <t>Non-Revenue Water, L / Conn/day</t>
  </si>
  <si>
    <t>Water Losses, L/Conn/Day</t>
  </si>
  <si>
    <t>Apparent Losses, L / Conn/day</t>
  </si>
  <si>
    <t>Customers with Meters, %</t>
  </si>
  <si>
    <t>Reported Mains Leaks / km / year</t>
  </si>
  <si>
    <t>Real Losses, L/Conn/Day</t>
  </si>
  <si>
    <t>Apparent Loss / Billed Authorized Consumption, %</t>
  </si>
  <si>
    <t>DO NOT ADJUST FIGURES ON THIS SUMMARY SHEET</t>
  </si>
  <si>
    <t>Value of Apparent Losses (1000 $/year)</t>
  </si>
  <si>
    <t>Value of Real Losses (1000 $/year)</t>
  </si>
  <si>
    <t>Total Value of Losses (1000 $/yr)</t>
  </si>
  <si>
    <t>Value of Losses per Connection / year</t>
  </si>
  <si>
    <t>Revenues</t>
  </si>
  <si>
    <t>Revenue from sewer services</t>
  </si>
  <si>
    <t>Other operational revenue</t>
  </si>
  <si>
    <t>Total de ingresos  operacionales</t>
  </si>
  <si>
    <t>Total Operational Revenue</t>
  </si>
  <si>
    <t>Other non-operational revenues</t>
  </si>
  <si>
    <t>Operating Costs</t>
  </si>
  <si>
    <t>Revenue from water services</t>
  </si>
  <si>
    <t>Revenue Collection Ratio</t>
  </si>
  <si>
    <t>Debt service / Interest</t>
  </si>
  <si>
    <t>Taxes</t>
  </si>
  <si>
    <t>Net Earnings</t>
  </si>
  <si>
    <t>Total Operational Cost</t>
  </si>
  <si>
    <t>Adminstrative Costs</t>
  </si>
  <si>
    <t>Year</t>
  </si>
  <si>
    <t>Financial Information</t>
  </si>
  <si>
    <t>Variable operating costs,R$ / m3 of water produced</t>
  </si>
  <si>
    <t>Value of Real Losses / Operating Cost</t>
  </si>
  <si>
    <t>Value of Apparent Losses/Operating Revenue</t>
  </si>
  <si>
    <t>Unbilled Authotized Consumption/Billed Authorized Consumption</t>
  </si>
  <si>
    <t>Inputs for Top Down Water Balance Estimation</t>
  </si>
  <si>
    <t>Cobertura del servicio de agua</t>
  </si>
  <si>
    <t>Clientes con medición, %</t>
  </si>
  <si>
    <t>Fugas visibles en redes / km / año</t>
  </si>
  <si>
    <t>Fugas visibles en conexiones/ 1000 conexiones / año</t>
  </si>
  <si>
    <t>Agua facturada, m3 / con / mes</t>
  </si>
  <si>
    <t>RESUMEN - TENDENCIAS</t>
  </si>
  <si>
    <t>Costo variable de O&amp;M, R$ @70% agua</t>
  </si>
  <si>
    <t>Variable operating costs, R$ @70% water</t>
  </si>
  <si>
    <t>Perdidas de agua, L/Con/Día</t>
  </si>
  <si>
    <t>Perdidas de agua reales, L/Con/Día</t>
  </si>
  <si>
    <t>Perdidas de agua reales, m3/km/dia</t>
  </si>
  <si>
    <t>Perdidas de agua / Consumo autorizado facturado</t>
  </si>
  <si>
    <t>Perdidas de agua aparentes, L/Con/Día</t>
  </si>
  <si>
    <t>Length of Mains, km</t>
  </si>
  <si>
    <t>Principal Mains Piping Material</t>
  </si>
  <si>
    <t>Age of Network Mains Pipe</t>
  </si>
  <si>
    <t>SYSTEM ATTRIBUTES + OPERATIONS</t>
  </si>
  <si>
    <t xml:space="preserve">Water Connections </t>
  </si>
  <si>
    <t>Sewer Connections</t>
  </si>
  <si>
    <t>Water Connection Density  (Conn/km)</t>
  </si>
  <si>
    <t xml:space="preserve">Average annual # of customers </t>
  </si>
  <si>
    <t>% of Customers with Meters</t>
  </si>
  <si>
    <t>Typical Small Customer Meter Type &amp; Class</t>
  </si>
  <si>
    <t>Average Meter Age, years</t>
  </si>
  <si>
    <t>Average annual metered Customers</t>
  </si>
  <si>
    <t>Supply Continuity, % of full time</t>
  </si>
  <si>
    <t>% of Customers with Roof Tanks</t>
  </si>
  <si>
    <t>% of Connections with intermittent Supply</t>
  </si>
  <si>
    <t>Total Water Production Capacity, m3/day</t>
  </si>
  <si>
    <t>Total Water Production, 1000 m3/yr</t>
  </si>
  <si>
    <t>Capacity Utilization, %</t>
  </si>
  <si>
    <t>Distribution System Input Volume</t>
  </si>
  <si>
    <t>Water Imported or Exported, 1000 m3/yr</t>
  </si>
  <si>
    <t>Total Water Billed, 1000 m3/yr</t>
  </si>
  <si>
    <t>Non-Revenue Water, L/Conn/Day</t>
  </si>
  <si>
    <t>Water Billed: m3 / Conn / Month</t>
  </si>
  <si>
    <t>Reported Leaks - Mains</t>
  </si>
  <si>
    <t>Reported Leaks - Connections</t>
  </si>
  <si>
    <t>Mains Reported Leaks / km / year</t>
  </si>
  <si>
    <t>Connections Reported Leaks / 1000 Conns / year</t>
  </si>
  <si>
    <t>Non-Reported Leaks - Mains</t>
  </si>
  <si>
    <t>Non-Reported Leaks - Connections</t>
  </si>
  <si>
    <t>Mains Non-Reported Leaks / km / year</t>
  </si>
  <si>
    <t>Connections Non-Reported Leaks / 1000 Conns / year</t>
  </si>
  <si>
    <t>Water Supply Coverage</t>
  </si>
  <si>
    <t>Population Served with Network</t>
  </si>
  <si>
    <t>Population served by tankers</t>
  </si>
  <si>
    <t>Population served by standpipes</t>
  </si>
  <si>
    <t>Number of Standpipes</t>
  </si>
  <si>
    <t>Total Operational Revenue, R$1000</t>
  </si>
  <si>
    <t>Total Operational Cost, R$1000</t>
  </si>
  <si>
    <t>Reported Connections Leaks / 1000 Conn / year</t>
  </si>
  <si>
    <t>Infrastructure Leakge Index (ILI)</t>
  </si>
  <si>
    <t>Pressure Manangement Index (PMI)</t>
  </si>
  <si>
    <t>Global Leakage Index</t>
  </si>
  <si>
    <t>Leakage Indices</t>
  </si>
  <si>
    <t>UARL (litres/day) = (18 x Lm + 0.8 x Nc + 25 x Lp) x P</t>
  </si>
  <si>
    <t>Lm = mains length (km); Nc = number of service connections; Lp = total length</t>
  </si>
  <si>
    <t>of private pipe, property line to customer meter (km); P = average pressure (m)</t>
  </si>
  <si>
    <t>Infrastructure Leakage Index (ILI)</t>
  </si>
  <si>
    <t>FINANCES and RESOURCES</t>
  </si>
  <si>
    <t>Cost of water services</t>
  </si>
  <si>
    <t>Cost of sewer services</t>
  </si>
  <si>
    <t>Other operational costs</t>
  </si>
  <si>
    <t>Unauthorized Consumption / Billed Authorized Consumption</t>
  </si>
  <si>
    <t xml:space="preserve">Número promedio anual de cuentas activas </t>
  </si>
  <si>
    <t>Tarifa efectiva promedio, $/m3</t>
  </si>
  <si>
    <t xml:space="preserve">   Suministros y materiales</t>
  </si>
  <si>
    <t xml:space="preserve">   Supplies and Materials</t>
  </si>
  <si>
    <t>IFE</t>
  </si>
  <si>
    <t>Growth</t>
  </si>
  <si>
    <t>Total Revenues (Turnover)</t>
  </si>
  <si>
    <t xml:space="preserve">Operating Cost Coverage Ratio </t>
  </si>
  <si>
    <t>Water Production, L / Conn / Day</t>
  </si>
  <si>
    <t>Water Billed, L / Conn / Day</t>
  </si>
  <si>
    <t>NRW, L / Conn / Day</t>
  </si>
  <si>
    <t>Operating Revenue, 1000 $</t>
  </si>
  <si>
    <t>Operating Costs, 1000 $</t>
  </si>
  <si>
    <t>Cost of Water Production, $/m3</t>
  </si>
  <si>
    <t>Variable Cost of Water Production, $/m3</t>
  </si>
  <si>
    <t>Effective Average Tariff, $/m3 sold</t>
  </si>
  <si>
    <t>Unavoidable Real Losses (UARL)</t>
  </si>
  <si>
    <t>Pressure Manangement Index (PMI) @20m</t>
  </si>
  <si>
    <t>Depreciation / Amortization</t>
  </si>
  <si>
    <t>Cost of Water Production, $ /m3 produced</t>
  </si>
  <si>
    <t>Effective Average Tariff, $/m3 Billed</t>
  </si>
  <si>
    <t>NOTES</t>
  </si>
  <si>
    <t>ONLY ENTER DATA IN THE LIGH GREEN SHADED CELLS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</si>
</sst>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"/>
    <numFmt numFmtId="167" formatCode="&quot;$&quot;#,##0.000"/>
    <numFmt numFmtId="168" formatCode="#,##0.0"/>
    <numFmt numFmtId="169" formatCode="&quot;$&quot;#,##0.00000"/>
    <numFmt numFmtId="170" formatCode="0.000%"/>
    <numFmt numFmtId="171" formatCode="[$R$-416]\ #,##0.00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.0000"/>
    <numFmt numFmtId="176" formatCode="[$-409]d\-mmm\-yy;@"/>
    <numFmt numFmtId="177" formatCode="&quot;$&quot;#,##0.00"/>
    <numFmt numFmtId="178" formatCode="0.00000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8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3" fillId="0" borderId="0"/>
    <xf numFmtId="9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24"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0" xfId="0" applyFill="1"/>
    <xf numFmtId="0" fontId="0" fillId="0" borderId="0" xfId="0" applyBorder="1"/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0" borderId="0" xfId="0" applyAlignment="1">
      <alignment vertical="center"/>
    </xf>
    <xf numFmtId="0" fontId="8" fillId="0" borderId="1" xfId="0" applyFont="1" applyBorder="1"/>
    <xf numFmtId="0" fontId="4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7" borderId="1" xfId="0" applyFont="1" applyFill="1" applyBorder="1" applyAlignment="1">
      <alignment horizontal="left" vertical="center"/>
    </xf>
    <xf numFmtId="3" fontId="0" fillId="7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0" fontId="8" fillId="7" borderId="1" xfId="0" applyFont="1" applyFill="1" applyBorder="1"/>
    <xf numFmtId="0" fontId="1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horizontal="right" vertical="center"/>
    </xf>
    <xf numFmtId="0" fontId="10" fillId="9" borderId="0" xfId="0" applyFont="1" applyFill="1"/>
    <xf numFmtId="0" fontId="0" fillId="10" borderId="1" xfId="0" applyFill="1" applyBorder="1"/>
    <xf numFmtId="0" fontId="0" fillId="12" borderId="1" xfId="0" applyFill="1" applyBorder="1"/>
    <xf numFmtId="166" fontId="0" fillId="7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 applyBorder="1"/>
    <xf numFmtId="165" fontId="0" fillId="7" borderId="1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 indent="1"/>
    </xf>
    <xf numFmtId="0" fontId="15" fillId="9" borderId="5" xfId="0" applyFont="1" applyFill="1" applyBorder="1" applyAlignment="1"/>
    <xf numFmtId="0" fontId="0" fillId="0" borderId="1" xfId="0" applyFont="1" applyBorder="1"/>
    <xf numFmtId="0" fontId="0" fillId="0" borderId="1" xfId="0" applyFont="1" applyFill="1" applyBorder="1"/>
    <xf numFmtId="168" fontId="0" fillId="7" borderId="1" xfId="0" applyNumberFormat="1" applyFill="1" applyBorder="1" applyAlignment="1">
      <alignment horizontal="center" vertical="center"/>
    </xf>
    <xf numFmtId="4" fontId="0" fillId="7" borderId="1" xfId="0" applyNumberFormat="1" applyFill="1" applyBorder="1" applyAlignment="1">
      <alignment horizontal="center" vertical="center"/>
    </xf>
    <xf numFmtId="3" fontId="0" fillId="7" borderId="1" xfId="0" applyNumberFormat="1" applyFont="1" applyFill="1" applyBorder="1" applyAlignment="1">
      <alignment horizontal="center" vertical="center"/>
    </xf>
    <xf numFmtId="165" fontId="6" fillId="7" borderId="1" xfId="2" applyNumberFormat="1" applyFont="1" applyFill="1" applyBorder="1" applyAlignment="1">
      <alignment horizontal="center" vertical="center"/>
    </xf>
    <xf numFmtId="166" fontId="5" fillId="7" borderId="1" xfId="2" applyNumberFormat="1" applyFont="1" applyFill="1" applyBorder="1" applyAlignment="1">
      <alignment horizontal="center" vertical="center"/>
    </xf>
    <xf numFmtId="165" fontId="5" fillId="7" borderId="1" xfId="2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0" xfId="0" applyAlignment="1"/>
    <xf numFmtId="0" fontId="0" fillId="12" borderId="1" xfId="0" applyFill="1" applyBorder="1" applyAlignment="1">
      <alignment horizontal="left" indent="2"/>
    </xf>
    <xf numFmtId="0" fontId="0" fillId="10" borderId="1" xfId="0" applyFill="1" applyBorder="1" applyAlignment="1">
      <alignment horizontal="left" indent="2"/>
    </xf>
    <xf numFmtId="3" fontId="0" fillId="0" borderId="1" xfId="0" applyNumberFormat="1" applyFill="1" applyBorder="1"/>
    <xf numFmtId="165" fontId="0" fillId="4" borderId="1" xfId="2" applyNumberFormat="1" applyFont="1" applyFill="1" applyBorder="1" applyAlignment="1">
      <alignment horizontal="center" vertical="center"/>
    </xf>
    <xf numFmtId="3" fontId="5" fillId="7" borderId="1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indent="2"/>
    </xf>
    <xf numFmtId="3" fontId="0" fillId="0" borderId="0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/>
    </xf>
    <xf numFmtId="10" fontId="0" fillId="0" borderId="1" xfId="2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5" fontId="6" fillId="0" borderId="0" xfId="2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5" borderId="1" xfId="0" applyFont="1" applyFill="1" applyBorder="1"/>
    <xf numFmtId="0" fontId="0" fillId="13" borderId="1" xfId="0" applyFont="1" applyFill="1" applyBorder="1"/>
    <xf numFmtId="0" fontId="0" fillId="6" borderId="1" xfId="0" applyFont="1" applyFill="1" applyBorder="1"/>
    <xf numFmtId="170" fontId="0" fillId="7" borderId="1" xfId="2" applyNumberFormat="1" applyFont="1" applyFill="1" applyBorder="1" applyAlignment="1">
      <alignment horizontal="center" vertical="center"/>
    </xf>
    <xf numFmtId="9" fontId="0" fillId="0" borderId="0" xfId="2" applyFont="1"/>
    <xf numFmtId="9" fontId="0" fillId="0" borderId="0" xfId="0" applyNumberFormat="1" applyFill="1"/>
    <xf numFmtId="9" fontId="0" fillId="0" borderId="1" xfId="0" applyNumberForma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9" fontId="0" fillId="0" borderId="1" xfId="2" applyFont="1" applyFill="1" applyBorder="1" applyAlignment="1">
      <alignment vertical="center"/>
    </xf>
    <xf numFmtId="0" fontId="8" fillId="0" borderId="1" xfId="0" applyFont="1" applyFill="1" applyBorder="1"/>
    <xf numFmtId="0" fontId="0" fillId="15" borderId="1" xfId="0" applyFill="1" applyBorder="1" applyAlignment="1">
      <alignment horizontal="left" indent="2"/>
    </xf>
    <xf numFmtId="0" fontId="2" fillId="15" borderId="1" xfId="0" applyFont="1" applyFill="1" applyBorder="1"/>
    <xf numFmtId="9" fontId="0" fillId="0" borderId="1" xfId="2" applyFont="1" applyFill="1" applyBorder="1"/>
    <xf numFmtId="165" fontId="6" fillId="4" borderId="1" xfId="2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4" xfId="0" applyNumberFormat="1" applyFill="1" applyBorder="1"/>
    <xf numFmtId="0" fontId="2" fillId="6" borderId="1" xfId="0" applyFont="1" applyFill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right"/>
    </xf>
    <xf numFmtId="166" fontId="0" fillId="7" borderId="1" xfId="0" applyNumberFormat="1" applyFill="1" applyBorder="1"/>
    <xf numFmtId="0" fontId="0" fillId="7" borderId="1" xfId="0" applyFill="1" applyBorder="1" applyAlignment="1">
      <alignment horizontal="left" indent="2"/>
    </xf>
    <xf numFmtId="0" fontId="13" fillId="7" borderId="1" xfId="0" applyFont="1" applyFill="1" applyBorder="1"/>
    <xf numFmtId="165" fontId="0" fillId="7" borderId="1" xfId="2" applyNumberFormat="1" applyFont="1" applyFill="1" applyBorder="1"/>
    <xf numFmtId="0" fontId="12" fillId="9" borderId="0" xfId="0" applyFont="1" applyFill="1" applyAlignment="1"/>
    <xf numFmtId="16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left" indent="2"/>
    </xf>
    <xf numFmtId="164" fontId="0" fillId="17" borderId="1" xfId="0" applyNumberFormat="1" applyFill="1" applyBorder="1" applyAlignment="1">
      <alignment horizontal="right"/>
    </xf>
    <xf numFmtId="0" fontId="13" fillId="17" borderId="1" xfId="0" applyFont="1" applyFill="1" applyBorder="1" applyAlignment="1">
      <alignment horizontal="left" indent="2"/>
    </xf>
    <xf numFmtId="172" fontId="0" fillId="0" borderId="1" xfId="0" applyNumberFormat="1" applyFill="1" applyBorder="1"/>
    <xf numFmtId="173" fontId="0" fillId="7" borderId="1" xfId="0" applyNumberFormat="1" applyFill="1" applyBorder="1"/>
    <xf numFmtId="174" fontId="0" fillId="7" borderId="1" xfId="0" applyNumberFormat="1" applyFill="1" applyBorder="1"/>
    <xf numFmtId="0" fontId="0" fillId="0" borderId="0" xfId="0" applyFill="1" applyBorder="1" applyAlignment="1">
      <alignment horizontal="center" vertical="center"/>
    </xf>
    <xf numFmtId="175" fontId="0" fillId="0" borderId="1" xfId="0" applyNumberFormat="1" applyFill="1" applyBorder="1"/>
    <xf numFmtId="0" fontId="12" fillId="9" borderId="0" xfId="0" applyFont="1" applyFill="1" applyAlignment="1">
      <alignment horizontal="left"/>
    </xf>
    <xf numFmtId="172" fontId="0" fillId="0" borderId="1" xfId="5" applyNumberFormat="1" applyFont="1" applyFill="1" applyBorder="1"/>
    <xf numFmtId="164" fontId="0" fillId="0" borderId="1" xfId="0" applyNumberFormat="1" applyFill="1" applyBorder="1" applyAlignment="1">
      <alignment horizontal="right"/>
    </xf>
    <xf numFmtId="3" fontId="0" fillId="15" borderId="1" xfId="0" applyNumberFormat="1" applyFill="1" applyBorder="1" applyAlignment="1">
      <alignment horizontal="center" vertical="center"/>
    </xf>
    <xf numFmtId="165" fontId="0" fillId="15" borderId="1" xfId="2" applyNumberFormat="1" applyFont="1" applyFill="1" applyBorder="1" applyAlignment="1">
      <alignment horizontal="center" vertical="center"/>
    </xf>
    <xf numFmtId="166" fontId="0" fillId="15" borderId="1" xfId="0" applyNumberFormat="1" applyFill="1" applyBorder="1" applyAlignment="1">
      <alignment horizontal="center" vertical="center"/>
    </xf>
    <xf numFmtId="3" fontId="0" fillId="19" borderId="1" xfId="0" applyNumberFormat="1" applyFill="1" applyBorder="1" applyAlignment="1">
      <alignment horizontal="center" vertical="center"/>
    </xf>
    <xf numFmtId="3" fontId="14" fillId="19" borderId="1" xfId="0" applyNumberFormat="1" applyFont="1" applyFill="1" applyBorder="1" applyAlignment="1">
      <alignment horizontal="center" vertical="center"/>
    </xf>
    <xf numFmtId="165" fontId="0" fillId="19" borderId="1" xfId="2" applyNumberFormat="1" applyFont="1" applyFill="1" applyBorder="1" applyAlignment="1">
      <alignment horizontal="center" vertical="center"/>
    </xf>
    <xf numFmtId="166" fontId="0" fillId="19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165" fontId="0" fillId="3" borderId="1" xfId="2" applyNumberFormat="1" applyFon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1" fontId="0" fillId="15" borderId="1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" fontId="23" fillId="15" borderId="1" xfId="0" applyNumberFormat="1" applyFont="1" applyFill="1" applyBorder="1" applyAlignment="1">
      <alignment horizontal="center" vertical="center"/>
    </xf>
    <xf numFmtId="3" fontId="23" fillId="19" borderId="1" xfId="0" applyNumberFormat="1" applyFont="1" applyFill="1" applyBorder="1" applyAlignment="1">
      <alignment horizontal="center" vertical="center"/>
    </xf>
    <xf numFmtId="3" fontId="23" fillId="3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9" borderId="1" xfId="0" applyFont="1" applyFill="1" applyBorder="1" applyAlignment="1">
      <alignment horizontal="left"/>
    </xf>
    <xf numFmtId="0" fontId="0" fillId="0" borderId="1" xfId="0" applyBorder="1" applyAlignment="1">
      <alignment horizontal="left" indent="1"/>
    </xf>
    <xf numFmtId="0" fontId="11" fillId="0" borderId="0" xfId="0" applyFont="1" applyFill="1" applyAlignment="1">
      <alignment horizontal="left"/>
    </xf>
    <xf numFmtId="0" fontId="24" fillId="0" borderId="1" xfId="0" applyFont="1" applyFill="1" applyBorder="1"/>
    <xf numFmtId="166" fontId="0" fillId="18" borderId="1" xfId="0" applyNumberFormat="1" applyFill="1" applyBorder="1" applyAlignment="1">
      <alignment horizontal="center" vertical="center"/>
    </xf>
    <xf numFmtId="168" fontId="0" fillId="18" borderId="1" xfId="0" applyNumberFormat="1" applyFill="1" applyBorder="1" applyAlignment="1">
      <alignment horizontal="center" vertical="center"/>
    </xf>
    <xf numFmtId="3" fontId="0" fillId="18" borderId="1" xfId="0" applyNumberFormat="1" applyFill="1" applyBorder="1" applyAlignment="1">
      <alignment horizontal="center" vertical="center"/>
    </xf>
    <xf numFmtId="3" fontId="0" fillId="18" borderId="1" xfId="2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right"/>
    </xf>
    <xf numFmtId="0" fontId="20" fillId="0" borderId="1" xfId="0" applyFont="1" applyFill="1" applyBorder="1"/>
    <xf numFmtId="0" fontId="0" fillId="0" borderId="0" xfId="0" applyFont="1"/>
    <xf numFmtId="0" fontId="11" fillId="9" borderId="0" xfId="0" applyFont="1" applyFill="1" applyAlignment="1">
      <alignment vertical="center"/>
    </xf>
    <xf numFmtId="0" fontId="11" fillId="9" borderId="0" xfId="0" applyFont="1" applyFill="1" applyAlignment="1">
      <alignment horizontal="left" vertical="center"/>
    </xf>
    <xf numFmtId="0" fontId="12" fillId="9" borderId="0" xfId="0" applyFont="1" applyFill="1" applyBorder="1" applyAlignment="1">
      <alignment horizontal="center" vertical="center"/>
    </xf>
    <xf numFmtId="0" fontId="0" fillId="0" borderId="4" xfId="0" applyFont="1" applyFill="1" applyBorder="1"/>
    <xf numFmtId="166" fontId="0" fillId="0" borderId="6" xfId="0" applyNumberFormat="1" applyFill="1" applyBorder="1" applyAlignment="1">
      <alignment horizontal="center" vertical="center"/>
    </xf>
    <xf numFmtId="166" fontId="5" fillId="0" borderId="0" xfId="2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applyFont="1" applyFill="1" applyBorder="1"/>
    <xf numFmtId="0" fontId="16" fillId="0" borderId="4" xfId="0" applyFont="1" applyFill="1" applyBorder="1" applyAlignment="1">
      <alignment horizontal="left" vertical="center" wrapText="1"/>
    </xf>
    <xf numFmtId="2" fontId="0" fillId="0" borderId="0" xfId="0" applyNumberFormat="1" applyBorder="1"/>
    <xf numFmtId="168" fontId="20" fillId="7" borderId="1" xfId="0" applyNumberFormat="1" applyFont="1" applyFill="1" applyBorder="1"/>
    <xf numFmtId="175" fontId="0" fillId="0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7" borderId="1" xfId="0" applyNumberFormat="1" applyFill="1" applyBorder="1"/>
    <xf numFmtId="164" fontId="0" fillId="0" borderId="0" xfId="0" applyNumberFormat="1" applyFill="1"/>
    <xf numFmtId="164" fontId="0" fillId="0" borderId="0" xfId="0" applyNumberFormat="1"/>
    <xf numFmtId="164" fontId="0" fillId="0" borderId="0" xfId="0" applyNumberFormat="1" applyBorder="1"/>
    <xf numFmtId="164" fontId="2" fillId="0" borderId="0" xfId="0" applyNumberFormat="1" applyFont="1" applyFill="1" applyBorder="1"/>
    <xf numFmtId="164" fontId="0" fillId="0" borderId="0" xfId="0" applyNumberFormat="1" applyFill="1" applyBorder="1"/>
    <xf numFmtId="164" fontId="0" fillId="17" borderId="1" xfId="0" applyNumberFormat="1" applyFill="1" applyBorder="1"/>
    <xf numFmtId="164" fontId="0" fillId="17" borderId="1" xfId="0" applyNumberFormat="1" applyFill="1" applyBorder="1" applyAlignment="1">
      <alignment horizontal="left" indent="1"/>
    </xf>
    <xf numFmtId="164" fontId="0" fillId="17" borderId="1" xfId="0" applyNumberFormat="1" applyFill="1" applyBorder="1" applyAlignment="1"/>
    <xf numFmtId="164" fontId="0" fillId="16" borderId="1" xfId="0" applyNumberFormat="1" applyFill="1" applyBorder="1"/>
    <xf numFmtId="164" fontId="0" fillId="7" borderId="1" xfId="0" applyNumberFormat="1" applyFill="1" applyBorder="1" applyAlignment="1">
      <alignment horizontal="right"/>
    </xf>
    <xf numFmtId="164" fontId="0" fillId="0" borderId="0" xfId="2" applyNumberFormat="1" applyFont="1"/>
    <xf numFmtId="9" fontId="0" fillId="0" borderId="1" xfId="2" applyFont="1" applyBorder="1"/>
    <xf numFmtId="177" fontId="0" fillId="15" borderId="1" xfId="0" applyNumberFormat="1" applyFill="1" applyBorder="1" applyAlignment="1">
      <alignment horizontal="center" vertical="center"/>
    </xf>
    <xf numFmtId="177" fontId="0" fillId="18" borderId="1" xfId="0" applyNumberFormat="1" applyFill="1" applyBorder="1" applyAlignment="1">
      <alignment horizontal="center" vertical="center"/>
    </xf>
    <xf numFmtId="177" fontId="0" fillId="19" borderId="1" xfId="0" applyNumberForma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7" fontId="5" fillId="7" borderId="1" xfId="2" applyNumberFormat="1" applyFont="1" applyFill="1" applyBorder="1" applyAlignment="1">
      <alignment horizontal="center" vertical="center"/>
    </xf>
    <xf numFmtId="177" fontId="8" fillId="15" borderId="1" xfId="2" applyNumberFormat="1" applyFont="1" applyFill="1" applyBorder="1" applyAlignment="1">
      <alignment horizontal="center" vertical="center"/>
    </xf>
    <xf numFmtId="177" fontId="8" fillId="19" borderId="1" xfId="2" applyNumberFormat="1" applyFont="1" applyFill="1" applyBorder="1" applyAlignment="1">
      <alignment horizontal="center" vertical="center"/>
    </xf>
    <xf numFmtId="177" fontId="8" fillId="3" borderId="1" xfId="2" applyNumberFormat="1" applyFont="1" applyFill="1" applyBorder="1" applyAlignment="1">
      <alignment horizontal="center" vertical="center"/>
    </xf>
    <xf numFmtId="177" fontId="0" fillId="7" borderId="1" xfId="2" applyNumberFormat="1" applyFont="1" applyFill="1" applyBorder="1" applyAlignment="1">
      <alignment horizontal="center" vertical="center"/>
    </xf>
    <xf numFmtId="177" fontId="5" fillId="15" borderId="1" xfId="6" applyNumberFormat="1" applyFont="1" applyFill="1" applyBorder="1" applyAlignment="1">
      <alignment horizontal="center" vertical="center"/>
    </xf>
    <xf numFmtId="177" fontId="0" fillId="7" borderId="1" xfId="6" applyNumberFormat="1" applyFont="1" applyFill="1" applyBorder="1" applyAlignment="1">
      <alignment horizontal="center" vertical="center"/>
    </xf>
    <xf numFmtId="9" fontId="5" fillId="7" borderId="1" xfId="2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right"/>
    </xf>
    <xf numFmtId="3" fontId="0" fillId="7" borderId="1" xfId="0" applyNumberFormat="1" applyFont="1" applyFill="1" applyBorder="1"/>
    <xf numFmtId="167" fontId="0" fillId="7" borderId="1" xfId="0" applyNumberFormat="1" applyFill="1" applyBorder="1"/>
    <xf numFmtId="172" fontId="0" fillId="0" borderId="1" xfId="0" applyNumberFormat="1" applyFont="1" applyBorder="1"/>
    <xf numFmtId="178" fontId="0" fillId="0" borderId="1" xfId="0" applyNumberFormat="1" applyFont="1" applyBorder="1"/>
    <xf numFmtId="164" fontId="8" fillId="19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8" fillId="15" borderId="1" xfId="0" applyNumberFormat="1" applyFont="1" applyFill="1" applyBorder="1" applyAlignment="1">
      <alignment horizontal="center" vertical="center"/>
    </xf>
    <xf numFmtId="164" fontId="0" fillId="7" borderId="1" xfId="0" applyNumberFormat="1" applyFont="1" applyFill="1" applyBorder="1" applyAlignment="1">
      <alignment horizontal="center" vertical="center"/>
    </xf>
    <xf numFmtId="164" fontId="23" fillId="19" borderId="1" xfId="0" applyNumberFormat="1" applyFont="1" applyFill="1" applyBorder="1" applyAlignment="1">
      <alignment horizontal="center" vertical="center"/>
    </xf>
    <xf numFmtId="164" fontId="23" fillId="3" borderId="1" xfId="0" applyNumberFormat="1" applyFont="1" applyFill="1" applyBorder="1" applyAlignment="1">
      <alignment horizontal="center" vertical="center"/>
    </xf>
    <xf numFmtId="164" fontId="23" fillId="15" borderId="1" xfId="0" applyNumberFormat="1" applyFont="1" applyFill="1" applyBorder="1" applyAlignment="1">
      <alignment horizontal="center" vertical="center"/>
    </xf>
    <xf numFmtId="164" fontId="5" fillId="7" borderId="1" xfId="2" applyNumberFormat="1" applyFont="1" applyFill="1" applyBorder="1" applyAlignment="1">
      <alignment horizontal="center" vertical="center"/>
    </xf>
    <xf numFmtId="167" fontId="0" fillId="15" borderId="1" xfId="0" applyNumberFormat="1" applyFill="1" applyBorder="1" applyAlignment="1">
      <alignment horizontal="center" vertical="center"/>
    </xf>
    <xf numFmtId="172" fontId="8" fillId="0" borderId="1" xfId="0" applyNumberFormat="1" applyFont="1" applyFill="1" applyBorder="1"/>
    <xf numFmtId="9" fontId="8" fillId="0" borderId="1" xfId="2" applyFont="1" applyFill="1" applyBorder="1"/>
    <xf numFmtId="178" fontId="0" fillId="0" borderId="1" xfId="0" applyNumberFormat="1" applyFont="1" applyFill="1" applyBorder="1"/>
    <xf numFmtId="2" fontId="0" fillId="7" borderId="1" xfId="0" applyNumberFormat="1" applyFill="1" applyBorder="1"/>
    <xf numFmtId="43" fontId="5" fillId="7" borderId="1" xfId="5" applyNumberFormat="1" applyFont="1" applyFill="1" applyBorder="1"/>
    <xf numFmtId="167" fontId="20" fillId="7" borderId="1" xfId="0" applyNumberFormat="1" applyFont="1" applyFill="1" applyBorder="1"/>
    <xf numFmtId="167" fontId="21" fillId="7" borderId="1" xfId="0" applyNumberFormat="1" applyFont="1" applyFill="1" applyBorder="1"/>
    <xf numFmtId="9" fontId="0" fillId="0" borderId="0" xfId="2" applyNumberFormat="1" applyFont="1"/>
    <xf numFmtId="167" fontId="14" fillId="7" borderId="1" xfId="0" applyNumberFormat="1" applyFont="1" applyFill="1" applyBorder="1"/>
    <xf numFmtId="165" fontId="8" fillId="0" borderId="1" xfId="2" applyNumberFormat="1" applyFont="1" applyFill="1" applyBorder="1"/>
    <xf numFmtId="1" fontId="8" fillId="0" borderId="1" xfId="0" applyNumberFormat="1" applyFont="1" applyFill="1" applyBorder="1"/>
    <xf numFmtId="3" fontId="8" fillId="0" borderId="1" xfId="0" applyNumberFormat="1" applyFont="1" applyFill="1" applyBorder="1"/>
    <xf numFmtId="3" fontId="24" fillId="0" borderId="1" xfId="0" applyNumberFormat="1" applyFont="1" applyFill="1" applyBorder="1"/>
    <xf numFmtId="166" fontId="8" fillId="7" borderId="1" xfId="0" applyNumberFormat="1" applyFont="1" applyFill="1" applyBorder="1"/>
    <xf numFmtId="0" fontId="8" fillId="0" borderId="1" xfId="0" applyFont="1" applyFill="1" applyBorder="1" applyAlignment="1">
      <alignment horizontal="right"/>
    </xf>
    <xf numFmtId="172" fontId="8" fillId="0" borderId="1" xfId="5" applyNumberFormat="1" applyFont="1" applyFill="1" applyBorder="1"/>
    <xf numFmtId="10" fontId="8" fillId="0" borderId="1" xfId="2" applyNumberFormat="1" applyFont="1" applyFill="1" applyBorder="1"/>
    <xf numFmtId="172" fontId="24" fillId="0" borderId="1" xfId="5" applyNumberFormat="1" applyFont="1" applyFill="1" applyBorder="1"/>
    <xf numFmtId="9" fontId="8" fillId="0" borderId="1" xfId="2" applyFont="1" applyBorder="1"/>
    <xf numFmtId="0" fontId="8" fillId="0" borderId="1" xfId="0" quotePrefix="1" applyFont="1" applyFill="1" applyBorder="1" applyAlignment="1">
      <alignment horizontal="right"/>
    </xf>
    <xf numFmtId="9" fontId="8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3" fontId="8" fillId="7" borderId="1" xfId="0" applyNumberFormat="1" applyFont="1" applyFill="1" applyBorder="1"/>
    <xf numFmtId="165" fontId="8" fillId="7" borderId="1" xfId="2" applyNumberFormat="1" applyFont="1" applyFill="1" applyBorder="1"/>
    <xf numFmtId="168" fontId="24" fillId="7" borderId="1" xfId="0" applyNumberFormat="1" applyFont="1" applyFill="1" applyBorder="1"/>
    <xf numFmtId="175" fontId="8" fillId="0" borderId="1" xfId="0" applyNumberFormat="1" applyFont="1" applyFill="1" applyBorder="1"/>
    <xf numFmtId="2" fontId="8" fillId="7" borderId="1" xfId="0" applyNumberFormat="1" applyFont="1" applyFill="1" applyBorder="1"/>
    <xf numFmtId="174" fontId="8" fillId="7" borderId="1" xfId="0" applyNumberFormat="1" applyFont="1" applyFill="1" applyBorder="1"/>
    <xf numFmtId="173" fontId="8" fillId="7" borderId="1" xfId="0" applyNumberFormat="1" applyFont="1" applyFill="1" applyBorder="1"/>
    <xf numFmtId="165" fontId="8" fillId="0" borderId="1" xfId="2" applyNumberFormat="1" applyFont="1" applyBorder="1"/>
    <xf numFmtId="3" fontId="8" fillId="0" borderId="1" xfId="2" applyNumberFormat="1" applyFont="1" applyFill="1" applyBorder="1"/>
    <xf numFmtId="3" fontId="8" fillId="0" borderId="1" xfId="0" applyNumberFormat="1" applyFont="1" applyBorder="1"/>
    <xf numFmtId="177" fontId="20" fillId="7" borderId="1" xfId="0" applyNumberFormat="1" applyFont="1" applyFill="1" applyBorder="1"/>
    <xf numFmtId="164" fontId="20" fillId="0" borderId="1" xfId="0" applyNumberFormat="1" applyFont="1" applyFill="1" applyBorder="1"/>
    <xf numFmtId="43" fontId="5" fillId="0" borderId="1" xfId="5" applyNumberFormat="1" applyFont="1" applyFill="1" applyBorder="1"/>
    <xf numFmtId="0" fontId="13" fillId="0" borderId="1" xfId="0" applyFont="1" applyFill="1" applyBorder="1" applyAlignment="1">
      <alignment horizontal="left" indent="2"/>
    </xf>
    <xf numFmtId="167" fontId="21" fillId="0" borderId="1" xfId="0" applyNumberFormat="1" applyFont="1" applyFill="1" applyBorder="1"/>
    <xf numFmtId="164" fontId="0" fillId="0" borderId="0" xfId="2" applyNumberFormat="1" applyFont="1" applyFill="1"/>
    <xf numFmtId="164" fontId="14" fillId="0" borderId="1" xfId="6" applyNumberFormat="1" applyFont="1" applyFill="1" applyBorder="1"/>
    <xf numFmtId="177" fontId="14" fillId="7" borderId="1" xfId="6" applyNumberFormat="1" applyFont="1" applyFill="1" applyBorder="1"/>
    <xf numFmtId="10" fontId="8" fillId="0" borderId="1" xfId="2" applyNumberFormat="1" applyFont="1" applyBorder="1"/>
    <xf numFmtId="9" fontId="1" fillId="0" borderId="1" xfId="2" applyFont="1" applyFill="1" applyBorder="1"/>
    <xf numFmtId="9" fontId="1" fillId="0" borderId="1" xfId="2" applyFont="1" applyFill="1" applyBorder="1" applyAlignment="1">
      <alignment horizontal="right"/>
    </xf>
    <xf numFmtId="0" fontId="15" fillId="9" borderId="1" xfId="0" applyFont="1" applyFill="1" applyBorder="1" applyAlignment="1">
      <alignment horizontal="right"/>
    </xf>
    <xf numFmtId="0" fontId="12" fillId="9" borderId="0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left"/>
    </xf>
    <xf numFmtId="0" fontId="11" fillId="9" borderId="8" xfId="0" applyFont="1" applyFill="1" applyBorder="1" applyAlignment="1">
      <alignment horizontal="left"/>
    </xf>
    <xf numFmtId="168" fontId="20" fillId="0" borderId="1" xfId="0" applyNumberFormat="1" applyFont="1" applyFill="1" applyBorder="1"/>
    <xf numFmtId="168" fontId="24" fillId="0" borderId="1" xfId="0" applyNumberFormat="1" applyFont="1" applyFill="1" applyBorder="1"/>
    <xf numFmtId="3" fontId="24" fillId="7" borderId="1" xfId="0" applyNumberFormat="1" applyFont="1" applyFill="1" applyBorder="1"/>
    <xf numFmtId="172" fontId="8" fillId="7" borderId="1" xfId="0" applyNumberFormat="1" applyFont="1" applyFill="1" applyBorder="1"/>
    <xf numFmtId="171" fontId="0" fillId="0" borderId="0" xfId="0" applyNumberFormat="1" applyFill="1"/>
    <xf numFmtId="0" fontId="0" fillId="0" borderId="0" xfId="0" applyFill="1" applyAlignment="1">
      <alignment horizontal="left"/>
    </xf>
    <xf numFmtId="176" fontId="10" fillId="20" borderId="0" xfId="0" applyNumberFormat="1" applyFont="1" applyFill="1" applyAlignment="1">
      <alignment vertical="center"/>
    </xf>
    <xf numFmtId="0" fontId="0" fillId="20" borderId="0" xfId="0" applyFill="1"/>
    <xf numFmtId="0" fontId="0" fillId="20" borderId="0" xfId="0" applyFont="1" applyFill="1"/>
    <xf numFmtId="0" fontId="0" fillId="0" borderId="0" xfId="0" applyFont="1" applyFill="1"/>
    <xf numFmtId="166" fontId="8" fillId="0" borderId="1" xfId="0" applyNumberFormat="1" applyFont="1" applyFill="1" applyBorder="1"/>
    <xf numFmtId="174" fontId="8" fillId="0" borderId="1" xfId="0" applyNumberFormat="1" applyFont="1" applyFill="1" applyBorder="1"/>
    <xf numFmtId="173" fontId="8" fillId="0" borderId="1" xfId="0" applyNumberFormat="1" applyFont="1" applyFill="1" applyBorder="1"/>
    <xf numFmtId="2" fontId="8" fillId="0" borderId="1" xfId="0" applyNumberFormat="1" applyFont="1" applyFill="1" applyBorder="1"/>
    <xf numFmtId="0" fontId="22" fillId="13" borderId="0" xfId="0" applyFont="1" applyFill="1"/>
    <xf numFmtId="0" fontId="18" fillId="13" borderId="0" xfId="0" applyFont="1" applyFill="1"/>
    <xf numFmtId="0" fontId="0" fillId="13" borderId="0" xfId="0" applyFill="1"/>
    <xf numFmtId="0" fontId="19" fillId="13" borderId="0" xfId="0" applyFont="1" applyFill="1"/>
    <xf numFmtId="0" fontId="0" fillId="9" borderId="0" xfId="0" applyFill="1"/>
    <xf numFmtId="0" fontId="11" fillId="21" borderId="0" xfId="0" applyFont="1" applyFill="1" applyAlignment="1">
      <alignment vertical="center"/>
    </xf>
    <xf numFmtId="0" fontId="0" fillId="21" borderId="0" xfId="0" applyFill="1"/>
    <xf numFmtId="0" fontId="11" fillId="21" borderId="11" xfId="0" applyFont="1" applyFill="1" applyBorder="1" applyAlignment="1">
      <alignment vertical="center"/>
    </xf>
    <xf numFmtId="0" fontId="11" fillId="21" borderId="12" xfId="0" applyFont="1" applyFill="1" applyBorder="1" applyAlignment="1">
      <alignment horizontal="left" vertical="center"/>
    </xf>
    <xf numFmtId="0" fontId="12" fillId="21" borderId="12" xfId="0" applyFont="1" applyFill="1" applyBorder="1" applyAlignment="1">
      <alignment horizontal="center" vertical="center"/>
    </xf>
    <xf numFmtId="176" fontId="10" fillId="21" borderId="12" xfId="0" applyNumberFormat="1" applyFont="1" applyFill="1" applyBorder="1" applyAlignment="1">
      <alignment vertical="center"/>
    </xf>
    <xf numFmtId="0" fontId="0" fillId="21" borderId="13" xfId="0" applyFill="1" applyBorder="1"/>
    <xf numFmtId="0" fontId="0" fillId="0" borderId="14" xfId="0" applyBorder="1"/>
    <xf numFmtId="0" fontId="19" fillId="0" borderId="15" xfId="0" applyFont="1" applyBorder="1"/>
    <xf numFmtId="0" fontId="15" fillId="9" borderId="16" xfId="0" applyFont="1" applyFill="1" applyBorder="1" applyAlignment="1"/>
    <xf numFmtId="0" fontId="15" fillId="9" borderId="17" xfId="0" applyFont="1" applyFill="1" applyBorder="1" applyAlignment="1"/>
    <xf numFmtId="0" fontId="4" fillId="21" borderId="22" xfId="0" applyFont="1" applyFill="1" applyBorder="1"/>
    <xf numFmtId="0" fontId="0" fillId="21" borderId="23" xfId="0" applyFill="1" applyBorder="1"/>
    <xf numFmtId="2" fontId="0" fillId="21" borderId="23" xfId="0" applyNumberFormat="1" applyFill="1" applyBorder="1"/>
    <xf numFmtId="0" fontId="0" fillId="21" borderId="24" xfId="0" applyFill="1" applyBorder="1"/>
    <xf numFmtId="0" fontId="27" fillId="0" borderId="0" xfId="0" applyFont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1" fontId="27" fillId="0" borderId="1" xfId="0" applyNumberFormat="1" applyFont="1" applyFill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3" fontId="27" fillId="0" borderId="1" xfId="0" applyNumberFormat="1" applyFont="1" applyFill="1" applyBorder="1" applyAlignment="1">
      <alignment vertical="center"/>
    </xf>
    <xf numFmtId="0" fontId="27" fillId="0" borderId="15" xfId="0" applyFont="1" applyBorder="1" applyAlignment="1">
      <alignment vertical="center"/>
    </xf>
    <xf numFmtId="166" fontId="27" fillId="0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9" fontId="27" fillId="0" borderId="1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168" fontId="27" fillId="0" borderId="1" xfId="0" applyNumberFormat="1" applyFont="1" applyBorder="1" applyAlignment="1">
      <alignment vertical="center"/>
    </xf>
    <xf numFmtId="166" fontId="27" fillId="0" borderId="1" xfId="0" applyNumberFormat="1" applyFont="1" applyBorder="1" applyAlignment="1">
      <alignment vertical="center"/>
    </xf>
    <xf numFmtId="0" fontId="12" fillId="9" borderId="14" xfId="0" applyFont="1" applyFill="1" applyBorder="1" applyAlignment="1">
      <alignment vertical="center"/>
    </xf>
    <xf numFmtId="0" fontId="11" fillId="9" borderId="0" xfId="0" applyFont="1" applyFill="1" applyBorder="1" applyAlignment="1">
      <alignment horizontal="left" vertical="center"/>
    </xf>
    <xf numFmtId="0" fontId="12" fillId="9" borderId="0" xfId="0" applyFont="1" applyFill="1" applyBorder="1" applyAlignment="1">
      <alignment vertical="center"/>
    </xf>
    <xf numFmtId="0" fontId="28" fillId="9" borderId="0" xfId="0" applyFont="1" applyFill="1" applyBorder="1" applyAlignment="1">
      <alignment vertical="center"/>
    </xf>
    <xf numFmtId="0" fontId="28" fillId="9" borderId="19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164" fontId="27" fillId="0" borderId="1" xfId="0" applyNumberFormat="1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43" fontId="27" fillId="0" borderId="1" xfId="5" applyNumberFormat="1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177" fontId="27" fillId="0" borderId="1" xfId="0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164" fontId="27" fillId="0" borderId="1" xfId="6" applyNumberFormat="1" applyFont="1" applyFill="1" applyBorder="1" applyAlignment="1">
      <alignment vertical="center"/>
    </xf>
    <xf numFmtId="167" fontId="27" fillId="0" borderId="1" xfId="6" applyNumberFormat="1" applyFont="1" applyFill="1" applyBorder="1" applyAlignment="1">
      <alignment vertical="center"/>
    </xf>
    <xf numFmtId="167" fontId="27" fillId="0" borderId="1" xfId="0" applyNumberFormat="1" applyFont="1" applyFill="1" applyBorder="1" applyAlignment="1">
      <alignment vertical="center"/>
    </xf>
    <xf numFmtId="0" fontId="12" fillId="9" borderId="5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vertical="center"/>
    </xf>
    <xf numFmtId="165" fontId="27" fillId="0" borderId="1" xfId="2" applyNumberFormat="1" applyFont="1" applyBorder="1" applyAlignment="1">
      <alignment vertical="center"/>
    </xf>
    <xf numFmtId="9" fontId="27" fillId="0" borderId="15" xfId="2" applyFont="1" applyFill="1" applyBorder="1" applyAlignment="1">
      <alignment vertical="center"/>
    </xf>
    <xf numFmtId="165" fontId="27" fillId="0" borderId="1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2" fontId="27" fillId="0" borderId="1" xfId="0" applyNumberFormat="1" applyFont="1" applyBorder="1" applyAlignment="1">
      <alignment vertical="center"/>
    </xf>
    <xf numFmtId="0" fontId="0" fillId="9" borderId="0" xfId="0" applyFill="1" applyBorder="1"/>
    <xf numFmtId="0" fontId="0" fillId="9" borderId="0" xfId="0" applyFill="1" applyAlignment="1">
      <alignment horizontal="right"/>
    </xf>
    <xf numFmtId="0" fontId="10" fillId="9" borderId="6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2" fillId="15" borderId="6" xfId="0" applyFont="1" applyFill="1" applyBorder="1" applyAlignment="1">
      <alignment horizontal="left"/>
    </xf>
    <xf numFmtId="0" fontId="0" fillId="0" borderId="6" xfId="0" applyFill="1" applyBorder="1"/>
    <xf numFmtId="0" fontId="2" fillId="15" borderId="6" xfId="0" applyFont="1" applyFill="1" applyBorder="1"/>
    <xf numFmtId="0" fontId="13" fillId="17" borderId="6" xfId="0" applyFont="1" applyFill="1" applyBorder="1" applyAlignment="1">
      <alignment horizontal="left" indent="2"/>
    </xf>
    <xf numFmtId="0" fontId="0" fillId="15" borderId="6" xfId="0" applyFill="1" applyBorder="1" applyAlignment="1">
      <alignment horizontal="left" indent="2"/>
    </xf>
    <xf numFmtId="0" fontId="0" fillId="15" borderId="6" xfId="0" quotePrefix="1" applyFill="1" applyBorder="1" applyAlignment="1">
      <alignment horizontal="left" indent="2"/>
    </xf>
    <xf numFmtId="0" fontId="0" fillId="7" borderId="6" xfId="0" applyFill="1" applyBorder="1" applyAlignment="1">
      <alignment horizontal="left" indent="2"/>
    </xf>
    <xf numFmtId="0" fontId="13" fillId="7" borderId="6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 indent="1"/>
    </xf>
    <xf numFmtId="0" fontId="0" fillId="7" borderId="6" xfId="0" applyFill="1" applyBorder="1"/>
    <xf numFmtId="0" fontId="0" fillId="7" borderId="6" xfId="0" applyFont="1" applyFill="1" applyBorder="1" applyAlignment="1">
      <alignment horizontal="left"/>
    </xf>
    <xf numFmtId="0" fontId="0" fillId="11" borderId="1" xfId="0" applyFont="1" applyFill="1" applyBorder="1"/>
    <xf numFmtId="0" fontId="0" fillId="7" borderId="0" xfId="0" applyFont="1" applyFill="1" applyAlignment="1">
      <alignment horizontal="left"/>
    </xf>
    <xf numFmtId="0" fontId="0" fillId="7" borderId="1" xfId="0" applyFont="1" applyFill="1" applyBorder="1"/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 wrapText="1"/>
    </xf>
    <xf numFmtId="0" fontId="11" fillId="0" borderId="8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right"/>
    </xf>
    <xf numFmtId="0" fontId="10" fillId="9" borderId="9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5" fillId="9" borderId="1" xfId="0" applyFont="1" applyFill="1" applyBorder="1"/>
    <xf numFmtId="0" fontId="25" fillId="9" borderId="1" xfId="0" applyFont="1" applyFill="1" applyBorder="1"/>
    <xf numFmtId="0" fontId="27" fillId="12" borderId="1" xfId="0" applyFont="1" applyFill="1" applyBorder="1"/>
    <xf numFmtId="3" fontId="27" fillId="0" borderId="1" xfId="0" applyNumberFormat="1" applyFont="1" applyFill="1" applyBorder="1" applyAlignment="1">
      <alignment horizontal="center" vertical="center"/>
    </xf>
    <xf numFmtId="3" fontId="27" fillId="0" borderId="9" xfId="0" applyNumberFormat="1" applyFont="1" applyFill="1" applyBorder="1" applyAlignment="1">
      <alignment horizontal="center" vertical="center"/>
    </xf>
    <xf numFmtId="0" fontId="27" fillId="10" borderId="1" xfId="0" applyFont="1" applyFill="1" applyBorder="1"/>
    <xf numFmtId="165" fontId="27" fillId="0" borderId="1" xfId="2" applyNumberFormat="1" applyFont="1" applyFill="1" applyBorder="1" applyAlignment="1">
      <alignment horizontal="center" vertical="center"/>
    </xf>
    <xf numFmtId="10" fontId="27" fillId="0" borderId="9" xfId="2" applyNumberFormat="1" applyFont="1" applyFill="1" applyBorder="1" applyAlignment="1">
      <alignment horizontal="center" vertical="center"/>
    </xf>
    <xf numFmtId="10" fontId="27" fillId="0" borderId="1" xfId="2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indent="2"/>
    </xf>
    <xf numFmtId="3" fontId="27" fillId="0" borderId="0" xfId="0" applyNumberFormat="1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left"/>
    </xf>
    <xf numFmtId="168" fontId="27" fillId="0" borderId="1" xfId="0" applyNumberFormat="1" applyFont="1" applyFill="1" applyBorder="1" applyAlignment="1">
      <alignment horizontal="center" vertical="center"/>
    </xf>
    <xf numFmtId="168" fontId="27" fillId="0" borderId="9" xfId="0" applyNumberFormat="1" applyFont="1" applyFill="1" applyBorder="1" applyAlignment="1">
      <alignment horizontal="center" vertical="center"/>
    </xf>
    <xf numFmtId="0" fontId="27" fillId="0" borderId="0" xfId="0" applyFont="1" applyBorder="1"/>
    <xf numFmtId="0" fontId="27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5" borderId="1" xfId="0" applyFont="1" applyFill="1" applyBorder="1"/>
    <xf numFmtId="1" fontId="27" fillId="0" borderId="1" xfId="0" applyNumberFormat="1" applyFont="1" applyFill="1" applyBorder="1" applyAlignment="1">
      <alignment horizontal="center" vertical="center"/>
    </xf>
    <xf numFmtId="1" fontId="27" fillId="0" borderId="9" xfId="0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left"/>
    </xf>
    <xf numFmtId="0" fontId="27" fillId="6" borderId="1" xfId="0" applyFont="1" applyFill="1" applyBorder="1"/>
    <xf numFmtId="9" fontId="27" fillId="0" borderId="9" xfId="2" applyNumberFormat="1" applyFont="1" applyFill="1" applyBorder="1" applyAlignment="1">
      <alignment horizontal="center" vertical="center"/>
    </xf>
    <xf numFmtId="9" fontId="27" fillId="0" borderId="1" xfId="2" applyFont="1" applyFill="1" applyBorder="1" applyAlignment="1">
      <alignment horizontal="center" vertical="center"/>
    </xf>
    <xf numFmtId="0" fontId="27" fillId="3" borderId="1" xfId="0" applyFont="1" applyFill="1" applyBorder="1"/>
    <xf numFmtId="166" fontId="27" fillId="0" borderId="1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/>
    </xf>
    <xf numFmtId="0" fontId="27" fillId="0" borderId="1" xfId="0" applyFont="1" applyFill="1" applyBorder="1"/>
    <xf numFmtId="2" fontId="27" fillId="0" borderId="1" xfId="0" applyNumberFormat="1" applyFont="1" applyFill="1" applyBorder="1" applyAlignment="1">
      <alignment horizontal="center" vertical="center"/>
    </xf>
    <xf numFmtId="2" fontId="27" fillId="0" borderId="9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vertical="center"/>
    </xf>
    <xf numFmtId="164" fontId="27" fillId="0" borderId="1" xfId="0" applyNumberFormat="1" applyFont="1" applyFill="1" applyBorder="1" applyAlignment="1">
      <alignment horizontal="center" vertical="center"/>
    </xf>
    <xf numFmtId="164" fontId="27" fillId="0" borderId="9" xfId="0" applyNumberFormat="1" applyFont="1" applyFill="1" applyBorder="1" applyAlignment="1">
      <alignment horizontal="center" vertical="center"/>
    </xf>
    <xf numFmtId="164" fontId="27" fillId="0" borderId="1" xfId="2" applyNumberFormat="1" applyFont="1" applyFill="1" applyBorder="1" applyAlignment="1">
      <alignment horizontal="center" vertical="center"/>
    </xf>
    <xf numFmtId="165" fontId="27" fillId="0" borderId="9" xfId="2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vertical="center"/>
    </xf>
    <xf numFmtId="0" fontId="27" fillId="5" borderId="1" xfId="0" applyFont="1" applyFill="1" applyBorder="1" applyAlignment="1">
      <alignment vertical="center"/>
    </xf>
    <xf numFmtId="164" fontId="27" fillId="0" borderId="9" xfId="2" applyNumberFormat="1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left"/>
    </xf>
    <xf numFmtId="0" fontId="27" fillId="3" borderId="1" xfId="0" applyFont="1" applyFill="1" applyBorder="1" applyAlignment="1">
      <alignment horizontal="left"/>
    </xf>
    <xf numFmtId="0" fontId="27" fillId="12" borderId="1" xfId="0" applyFont="1" applyFill="1" applyBorder="1" applyAlignment="1">
      <alignment horizontal="left"/>
    </xf>
    <xf numFmtId="0" fontId="29" fillId="13" borderId="0" xfId="0" applyFont="1" applyFill="1"/>
    <xf numFmtId="0" fontId="29" fillId="13" borderId="0" xfId="0" applyFont="1" applyFill="1" applyAlignment="1">
      <alignment horizontal="center" vertical="center"/>
    </xf>
    <xf numFmtId="0" fontId="30" fillId="9" borderId="0" xfId="0" applyFont="1" applyFill="1" applyAlignment="1"/>
    <xf numFmtId="0" fontId="30" fillId="9" borderId="8" xfId="0" applyFont="1" applyFill="1" applyBorder="1" applyAlignment="1"/>
    <xf numFmtId="0" fontId="31" fillId="9" borderId="0" xfId="0" applyFont="1" applyFill="1"/>
    <xf numFmtId="0" fontId="31" fillId="9" borderId="0" xfId="0" applyFont="1" applyFill="1" applyAlignment="1">
      <alignment horizontal="center" vertical="center"/>
    </xf>
    <xf numFmtId="0" fontId="31" fillId="0" borderId="0" xfId="0" applyFont="1"/>
    <xf numFmtId="0" fontId="32" fillId="9" borderId="0" xfId="0" applyFont="1" applyFill="1" applyAlignment="1">
      <alignment vertical="center"/>
    </xf>
    <xf numFmtId="0" fontId="27" fillId="0" borderId="0" xfId="0" applyFont="1"/>
    <xf numFmtId="0" fontId="27" fillId="14" borderId="1" xfId="0" applyFont="1" applyFill="1" applyBorder="1"/>
    <xf numFmtId="165" fontId="27" fillId="14" borderId="1" xfId="0" applyNumberFormat="1" applyFont="1" applyFill="1" applyBorder="1" applyAlignment="1">
      <alignment horizontal="center"/>
    </xf>
    <xf numFmtId="165" fontId="27" fillId="0" borderId="1" xfId="0" applyNumberFormat="1" applyFont="1" applyFill="1" applyBorder="1" applyAlignment="1">
      <alignment horizontal="center"/>
    </xf>
    <xf numFmtId="165" fontId="27" fillId="22" borderId="1" xfId="0" applyNumberFormat="1" applyFont="1" applyFill="1" applyBorder="1" applyAlignment="1">
      <alignment horizontal="center"/>
    </xf>
    <xf numFmtId="0" fontId="27" fillId="0" borderId="1" xfId="0" applyFont="1" applyBorder="1"/>
    <xf numFmtId="0" fontId="27" fillId="22" borderId="1" xfId="0" applyFont="1" applyFill="1" applyBorder="1"/>
    <xf numFmtId="165" fontId="27" fillId="22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9" fontId="27" fillId="0" borderId="1" xfId="0" applyNumberFormat="1" applyFont="1" applyFill="1" applyBorder="1" applyAlignment="1">
      <alignment horizontal="center"/>
    </xf>
    <xf numFmtId="9" fontId="27" fillId="22" borderId="1" xfId="0" applyNumberFormat="1" applyFont="1" applyFill="1" applyBorder="1"/>
    <xf numFmtId="9" fontId="27" fillId="22" borderId="1" xfId="0" applyNumberFormat="1" applyFont="1" applyFill="1" applyBorder="1" applyAlignment="1">
      <alignment horizontal="center"/>
    </xf>
    <xf numFmtId="0" fontId="12" fillId="21" borderId="12" xfId="0" applyFont="1" applyFill="1" applyBorder="1" applyAlignment="1">
      <alignment horizontal="center" vertical="center"/>
    </xf>
    <xf numFmtId="176" fontId="10" fillId="21" borderId="12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 vertical="center"/>
    </xf>
    <xf numFmtId="176" fontId="10" fillId="9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/>
    </xf>
    <xf numFmtId="0" fontId="27" fillId="14" borderId="1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left" vertical="center" wrapText="1"/>
    </xf>
    <xf numFmtId="0" fontId="16" fillId="6" borderId="3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16" fillId="10" borderId="4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left" vertical="center" wrapText="1"/>
    </xf>
    <xf numFmtId="0" fontId="16" fillId="10" borderId="3" xfId="0" applyFont="1" applyFill="1" applyBorder="1" applyAlignment="1">
      <alignment horizontal="left" vertical="center" wrapText="1"/>
    </xf>
    <xf numFmtId="0" fontId="17" fillId="12" borderId="4" xfId="0" applyFont="1" applyFill="1" applyBorder="1" applyAlignment="1">
      <alignment horizontal="left" vertical="center"/>
    </xf>
    <xf numFmtId="0" fontId="17" fillId="12" borderId="2" xfId="0" applyFont="1" applyFill="1" applyBorder="1" applyAlignment="1">
      <alignment horizontal="left" vertical="center"/>
    </xf>
    <xf numFmtId="0" fontId="17" fillId="12" borderId="3" xfId="0" applyFont="1" applyFill="1" applyBorder="1" applyAlignment="1">
      <alignment horizontal="left" vertical="center"/>
    </xf>
    <xf numFmtId="0" fontId="17" fillId="10" borderId="1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8" borderId="0" xfId="0" applyFont="1" applyFill="1" applyAlignment="1">
      <alignment horizontal="left"/>
    </xf>
    <xf numFmtId="0" fontId="0" fillId="0" borderId="7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7">
    <cellStyle name="Comma" xfId="5" builtinId="3"/>
    <cellStyle name="Currency" xfId="6" builtinId="4"/>
    <cellStyle name="Normal" xfId="0" builtinId="0"/>
    <cellStyle name="Normal 2" xfId="1"/>
    <cellStyle name="Normal 3" xfId="3"/>
    <cellStyle name="Percent" xfId="2" builtinId="5"/>
    <cellStyle name="Percent 2" xfId="4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Estimated Components of Water Losses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198576810430795E-2"/>
          <c:y val="0.138608885568136"/>
          <c:w val="0.83940094681892796"/>
          <c:h val="0.689502615092820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Summary!$B$24</c:f>
              <c:strCache>
                <c:ptCount val="1"/>
                <c:pt idx="0">
                  <c:v>Apparent Losses, L / Conn/day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Summary!$D$3:$S$3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Summary!$D$24:$S$24</c:f>
              <c:numCache>
                <c:formatCode>0</c:formatCod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8-43AB-B6B5-7DAF51DFB0AB}"/>
            </c:ext>
          </c:extLst>
        </c:ser>
        <c:ser>
          <c:idx val="0"/>
          <c:order val="1"/>
          <c:tx>
            <c:strRef>
              <c:f>Summary!$B$25</c:f>
              <c:strCache>
                <c:ptCount val="1"/>
                <c:pt idx="0">
                  <c:v>Real Losses, L/Conn/Day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Summary!$D$3:$S$3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Summary!$D$25:$S$25</c:f>
              <c:numCache>
                <c:formatCode>0</c:formatCod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8-43AB-B6B5-7DAF51DFB0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-1418647088"/>
        <c:axId val="-1418644768"/>
      </c:barChart>
      <c:catAx>
        <c:axId val="-141864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18644768"/>
        <c:crosses val="autoZero"/>
        <c:auto val="1"/>
        <c:lblAlgn val="ctr"/>
        <c:lblOffset val="100"/>
        <c:noMultiLvlLbl val="0"/>
      </c:catAx>
      <c:valAx>
        <c:axId val="-141864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1864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4466865318441501"/>
          <c:y val="0.18155043393298501"/>
          <c:w val="0.45478859070433197"/>
          <c:h val="0.2160896603253059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aseline="0"/>
              <a:t>Real Loss: L / Connection / Day,</a:t>
            </a:r>
            <a:r>
              <a:rPr lang="en-US" sz="1800"/>
              <a:t> Pressure, ILI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61403541154101"/>
          <c:y val="0.142844854737985"/>
          <c:w val="0.77558500413543796"/>
          <c:h val="0.57267119196307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'Water Balance'!$C$24</c:f>
              <c:strCache>
                <c:ptCount val="1"/>
                <c:pt idx="0">
                  <c:v>Real Losses, L / Connection / Day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numRef>
              <c:f>'Water Balance'!$D$3:$S$3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'Water Balance'!$D$24:$S$24</c:f>
              <c:numCache>
                <c:formatCode>0</c:formatCod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8-466F-BCD0-776EAD15D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2906608"/>
        <c:axId val="-1442909440"/>
      </c:barChart>
      <c:lineChart>
        <c:grouping val="standard"/>
        <c:varyColors val="0"/>
        <c:ser>
          <c:idx val="1"/>
          <c:order val="1"/>
          <c:tx>
            <c:strRef>
              <c:f>'System Attributes and Operation'!$B$25</c:f>
              <c:strCache>
                <c:ptCount val="1"/>
                <c:pt idx="0">
                  <c:v>Average Network Pressure (m)</c:v>
                </c:pt>
              </c:strCache>
            </c:strRef>
          </c:tx>
          <c:spPr>
            <a:ln w="349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'System Attributes and Operation'!$D$3:$S$3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'System Attributes and Operation'!$D$25:$S$25</c:f>
              <c:numCache>
                <c:formatCode>General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A8-466F-BCD0-776EAD15DE6F}"/>
            </c:ext>
          </c:extLst>
        </c:ser>
        <c:ser>
          <c:idx val="2"/>
          <c:order val="2"/>
          <c:tx>
            <c:strRef>
              <c:f>'System Attributes and Operation'!$B$59</c:f>
              <c:strCache>
                <c:ptCount val="1"/>
                <c:pt idx="0">
                  <c:v>Infrastructure Leakge Index (ILI)</c:v>
                </c:pt>
              </c:strCache>
            </c:strRef>
          </c:tx>
          <c:spPr>
            <a:ln w="412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'System Attributes and Operation'!$D$3:$S$3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'System Attributes and Operation'!$D$59:$S$59</c:f>
              <c:numCache>
                <c:formatCode>0.00</c:formatCod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4A8-466F-BCD0-776EAD15D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42901968"/>
        <c:axId val="-1442904288"/>
      </c:lineChart>
      <c:valAx>
        <c:axId val="-144290944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2906608"/>
        <c:crosses val="autoZero"/>
        <c:crossBetween val="between"/>
      </c:valAx>
      <c:catAx>
        <c:axId val="-144290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2909440"/>
        <c:crosses val="autoZero"/>
        <c:auto val="1"/>
        <c:lblAlgn val="ctr"/>
        <c:lblOffset val="100"/>
        <c:noMultiLvlLbl val="0"/>
      </c:catAx>
      <c:valAx>
        <c:axId val="-14429042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2901968"/>
        <c:crosses val="max"/>
        <c:crossBetween val="between"/>
      </c:valAx>
      <c:catAx>
        <c:axId val="-1442901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442904288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chemeClr val="tx2"/>
          </a:solidFill>
        </a:ln>
        <a:effectLst/>
      </c:spPr>
    </c:plotArea>
    <c:legend>
      <c:legendPos val="b"/>
      <c:layout>
        <c:manualLayout>
          <c:xMode val="edge"/>
          <c:yMode val="edge"/>
          <c:x val="0.170774857823245"/>
          <c:y val="0.83551231025546102"/>
          <c:w val="0.63621296380121595"/>
          <c:h val="0.1169478805961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Financial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0711686041688"/>
          <c:y val="9.5240372761625502E-2"/>
          <c:w val="0.71955145110420005"/>
          <c:h val="0.56008056641433102"/>
        </c:manualLayout>
      </c:layout>
      <c:lineChart>
        <c:grouping val="standard"/>
        <c:varyColors val="0"/>
        <c:ser>
          <c:idx val="0"/>
          <c:order val="0"/>
          <c:tx>
            <c:strRef>
              <c:f>'Utility Finances'!$B$28</c:f>
              <c:strCache>
                <c:ptCount val="1"/>
                <c:pt idx="0">
                  <c:v>Cost of Water Production, $ /m3 produced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'Utility Finances'!$E$3:$S$3</c15:sqref>
                  </c15:fullRef>
                </c:ext>
              </c:extLst>
              <c:f>'Utility Finances'!$E$3:$S$3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'Utility Finances'!$D$28:$S$28</c15:sqref>
                  </c15:fullRef>
                </c:ext>
              </c:extLst>
              <c:f>'Utility Finances'!$D$28:$R$28</c:f>
              <c:numCache>
                <c:formatCode>"$"#,##0.00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2B2-47D5-AF74-5948D6254A06}"/>
            </c:ext>
          </c:extLst>
        </c:ser>
        <c:ser>
          <c:idx val="2"/>
          <c:order val="2"/>
          <c:tx>
            <c:strRef>
              <c:f>'Utility Finances'!$B$29</c:f>
              <c:strCache>
                <c:ptCount val="1"/>
                <c:pt idx="0">
                  <c:v>Effective Average Tariff, $/m3 Billed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'Utility Finances'!$E$3:$S$3</c15:sqref>
                  </c15:fullRef>
                </c:ext>
              </c:extLst>
              <c:f>'Utility Finances'!$E$3:$S$3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'Utility Finances'!$D$29:$S$29</c15:sqref>
                  </c15:fullRef>
                </c:ext>
              </c:extLst>
              <c:f>'Utility Finances'!$D$29:$R$29</c:f>
              <c:numCache>
                <c:formatCode>"$"#,##0.00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2-47D5-AF74-5948D6254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42945136"/>
        <c:axId val="-1442942304"/>
      </c:lineChart>
      <c:lineChart>
        <c:grouping val="standard"/>
        <c:varyColors val="0"/>
        <c:ser>
          <c:idx val="1"/>
          <c:order val="1"/>
          <c:tx>
            <c:strRef>
              <c:f>'Utility Finances'!$B$26</c:f>
              <c:strCache>
                <c:ptCount val="1"/>
                <c:pt idx="0">
                  <c:v>Operating Cost Coverage Ratio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'Utility Finances'!$D$3:$S$3</c15:sqref>
                  </c15:fullRef>
                </c:ext>
              </c:extLst>
              <c:f>'Utility Finances'!$D$3:$R$3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'Utility Finances'!$D$26:$S$26</c15:sqref>
                  </c15:fullRef>
                </c:ext>
              </c:extLst>
              <c:f>'Utility Finances'!$D$26:$R$26</c:f>
              <c:numCache>
                <c:formatCode>_(* #,##0.00_);_(* \(#,##0.00\);_(* "-"??_);_(@_)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2B2-47D5-AF74-5948D6254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42968848"/>
        <c:axId val="-1442971168"/>
      </c:lineChart>
      <c:catAx>
        <c:axId val="-1442945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2942304"/>
        <c:crosses val="autoZero"/>
        <c:auto val="1"/>
        <c:lblAlgn val="ctr"/>
        <c:lblOffset val="100"/>
        <c:noMultiLvlLbl val="0"/>
      </c:catAx>
      <c:valAx>
        <c:axId val="-144294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2945136"/>
        <c:crosses val="autoZero"/>
        <c:crossBetween val="between"/>
      </c:valAx>
      <c:valAx>
        <c:axId val="-1442971168"/>
        <c:scaling>
          <c:orientation val="minMax"/>
          <c:max val="2.2000000000000002"/>
          <c:min val="0"/>
        </c:scaling>
        <c:delete val="0"/>
        <c:axPos val="r"/>
        <c:numFmt formatCode="#,##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2968848"/>
        <c:crosses val="max"/>
        <c:crossBetween val="between"/>
        <c:majorUnit val="0.2"/>
      </c:valAx>
      <c:catAx>
        <c:axId val="-1442968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44297116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accent5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2810061266849599"/>
          <c:y val="0.80093203291131598"/>
          <c:w val="0.52561634417858205"/>
          <c:h val="0.1801927579125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TREND: Operating Costs and Revenues, </a:t>
            </a:r>
            <a:r>
              <a:rPr lang="en-US" sz="1600" b="1" baseline="0">
                <a:solidFill>
                  <a:srgbClr val="C00000"/>
                </a:solidFill>
              </a:rPr>
              <a:t>EBITDA, Net Earnings</a:t>
            </a:r>
            <a:endParaRPr lang="en-US" sz="1600" b="1">
              <a:solidFill>
                <a:srgbClr val="C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103028968526"/>
          <c:y val="0.104624405579201"/>
          <c:w val="0.72577245742530405"/>
          <c:h val="0.642100492210961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Summary!$B$15</c:f>
              <c:strCache>
                <c:ptCount val="1"/>
                <c:pt idx="0">
                  <c:v>Operating Costs, 1000 $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'Utility Finances'!$E$3:$R$3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Summary!$E$15:$R$15</c:f>
              <c:numCache>
                <c:formatCode>"$"#,##0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C-4CF1-8FC4-A4CF27577D4C}"/>
            </c:ext>
          </c:extLst>
        </c:ser>
        <c:ser>
          <c:idx val="0"/>
          <c:order val="1"/>
          <c:tx>
            <c:strRef>
              <c:f>Summary!$B$14</c:f>
              <c:strCache>
                <c:ptCount val="1"/>
                <c:pt idx="0">
                  <c:v>Operating Revenue, 1000 $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'Utility Finances'!$E$3:$R$3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Summary!$E$14:$R$14</c:f>
              <c:numCache>
                <c:formatCode>"$"#,##0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C-4CF1-8FC4-A4CF27577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443212816"/>
        <c:axId val="-1443210768"/>
      </c:barChart>
      <c:lineChart>
        <c:grouping val="standard"/>
        <c:varyColors val="0"/>
        <c:ser>
          <c:idx val="2"/>
          <c:order val="2"/>
          <c:tx>
            <c:strRef>
              <c:f>'Utility Finances'!$B$19</c:f>
              <c:strCache>
                <c:ptCount val="1"/>
                <c:pt idx="0">
                  <c:v>EBITDA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'Utility Finances'!$D$3:$R$3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'Utility Finances'!$E$19:$R$19</c:f>
              <c:numCache>
                <c:formatCode>"$"#,##0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AEC-4CF1-8FC4-A4CF27577D4C}"/>
            </c:ext>
          </c:extLst>
        </c:ser>
        <c:ser>
          <c:idx val="3"/>
          <c:order val="3"/>
          <c:tx>
            <c:strRef>
              <c:f>'Utility Finances'!$B$24</c:f>
              <c:strCache>
                <c:ptCount val="1"/>
                <c:pt idx="0">
                  <c:v>Net Earnings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'Utility Finances'!$D$3:$R$3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'Utility Finances'!$E$24:$R$24</c:f>
              <c:numCache>
                <c:formatCode>"$"#,##0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AEC-4CF1-8FC4-A4CF27577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43445328"/>
        <c:axId val="-1443036496"/>
      </c:lineChart>
      <c:catAx>
        <c:axId val="-1443212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3210768"/>
        <c:crosses val="autoZero"/>
        <c:auto val="1"/>
        <c:lblAlgn val="ctr"/>
        <c:lblOffset val="100"/>
        <c:noMultiLvlLbl val="0"/>
      </c:catAx>
      <c:valAx>
        <c:axId val="-144321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Operating Costs and</a:t>
                </a:r>
                <a:r>
                  <a:rPr lang="en-US" sz="1100" b="1" baseline="0"/>
                  <a:t> Revenues</a:t>
                </a:r>
                <a:endParaRPr lang="en-US" sz="1100" b="1"/>
              </a:p>
            </c:rich>
          </c:tx>
          <c:layout>
            <c:manualLayout>
              <c:xMode val="edge"/>
              <c:yMode val="edge"/>
              <c:x val="2.4218970578229401E-2"/>
              <c:y val="0.2882114121436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3212816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-1443036496"/>
        <c:scaling>
          <c:orientation val="minMax"/>
          <c:min val="-500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rgbClr val="C00000"/>
                    </a:solidFill>
                  </a:rPr>
                  <a:t>EBITDA, Net Earnings</a:t>
                </a:r>
              </a:p>
            </c:rich>
          </c:tx>
          <c:layout>
            <c:manualLayout>
              <c:xMode val="edge"/>
              <c:yMode val="edge"/>
              <c:x val="0.95028751011897405"/>
              <c:y val="0.29642063905279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out"/>
        <c:minorTickMark val="none"/>
        <c:tickLblPos val="nextTo"/>
        <c:spPr>
          <a:noFill/>
          <a:ln w="15875">
            <a:solidFill>
              <a:srgbClr val="C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3445328"/>
        <c:crosses val="max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-1443445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443036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456684596037"/>
          <c:y val="0.87786402748485004"/>
          <c:w val="0.60284622251237896"/>
          <c:h val="0.1026822009199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TREND:  Water Production, Use, NRW and </a:t>
            </a:r>
            <a:r>
              <a:rPr lang="en-US" sz="1600" b="1">
                <a:solidFill>
                  <a:srgbClr val="C00000"/>
                </a:solidFill>
              </a:rPr>
              <a:t>Connections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253081128722"/>
          <c:y val="0.112789519531871"/>
          <c:w val="0.71293685888839597"/>
          <c:h val="0.636795185120961"/>
        </c:manualLayout>
      </c:layout>
      <c:lineChart>
        <c:grouping val="standard"/>
        <c:varyColors val="0"/>
        <c:ser>
          <c:idx val="0"/>
          <c:order val="0"/>
          <c:tx>
            <c:strRef>
              <c:f>'System Attributes and Operation'!$B$33</c:f>
              <c:strCache>
                <c:ptCount val="1"/>
                <c:pt idx="0">
                  <c:v>Total Water Production, 1000 m3/yr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'System Attributes and Operation'!$E$3:$R$3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'System Attributes and Operation'!$E$33:$R$33</c:f>
              <c:numCache>
                <c:formatCode>#,##0</c:formatCode>
                <c:ptCount val="14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7E9-4178-8592-935920D024CB}"/>
            </c:ext>
          </c:extLst>
        </c:ser>
        <c:ser>
          <c:idx val="1"/>
          <c:order val="1"/>
          <c:tx>
            <c:strRef>
              <c:f>'System Attributes and Operation'!$B$37</c:f>
              <c:strCache>
                <c:ptCount val="1"/>
                <c:pt idx="0">
                  <c:v>Total Water Billed, 1000 m3/yr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'System Attributes and Operation'!$E$3:$R$3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'System Attributes and Operation'!$E$37:$R$37</c:f>
              <c:numCache>
                <c:formatCode>#,##0</c:formatCode>
                <c:ptCount val="14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7E9-4178-8592-935920D024CB}"/>
            </c:ext>
          </c:extLst>
        </c:ser>
        <c:ser>
          <c:idx val="2"/>
          <c:order val="2"/>
          <c:tx>
            <c:strRef>
              <c:f>'System Attributes and Operation'!$B$38</c:f>
              <c:strCache>
                <c:ptCount val="1"/>
                <c:pt idx="0">
                  <c:v>Non-Revenue Water, 1000 m3/yr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'System Attributes and Operation'!$E$3:$R$3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'System Attributes and Operation'!$E$38:$R$38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7E9-4178-8592-935920D02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3375392"/>
        <c:axId val="-1373372384"/>
      </c:lineChart>
      <c:lineChart>
        <c:grouping val="standard"/>
        <c:varyColors val="0"/>
        <c:ser>
          <c:idx val="3"/>
          <c:order val="3"/>
          <c:tx>
            <c:strRef>
              <c:f>'System Attributes and Operation'!$B$14</c:f>
              <c:strCache>
                <c:ptCount val="1"/>
                <c:pt idx="0">
                  <c:v>Water Connections 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'System Attributes and Operation'!$E$14:$R$14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E9-4178-8592-935920D02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3029520"/>
        <c:axId val="-1373368992"/>
      </c:lineChart>
      <c:catAx>
        <c:axId val="-1373375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73372384"/>
        <c:crosses val="autoZero"/>
        <c:auto val="1"/>
        <c:lblAlgn val="ctr"/>
        <c:lblOffset val="100"/>
        <c:noMultiLvlLbl val="0"/>
      </c:catAx>
      <c:valAx>
        <c:axId val="-137337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Water Volume, 1000 m3 / year</a:t>
                </a:r>
              </a:p>
            </c:rich>
          </c:tx>
          <c:layout>
            <c:manualLayout>
              <c:xMode val="edge"/>
              <c:yMode val="edge"/>
              <c:x val="1.18702432568301E-2"/>
              <c:y val="0.200393951425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73375392"/>
        <c:crosses val="autoZero"/>
        <c:crossBetween val="between"/>
      </c:valAx>
      <c:valAx>
        <c:axId val="-13733689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rgbClr val="C00000"/>
                    </a:solidFill>
                  </a:rPr>
                  <a:t>Number of  Water Connections</a:t>
                </a:r>
              </a:p>
            </c:rich>
          </c:tx>
          <c:layout>
            <c:manualLayout>
              <c:xMode val="edge"/>
              <c:yMode val="edge"/>
              <c:x val="0.954393623487647"/>
              <c:y val="0.236767473419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15875">
            <a:solidFill>
              <a:srgbClr val="C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73029520"/>
        <c:crosses val="max"/>
        <c:crossBetween val="between"/>
      </c:valAx>
      <c:catAx>
        <c:axId val="-1373029520"/>
        <c:scaling>
          <c:orientation val="minMax"/>
        </c:scaling>
        <c:delete val="1"/>
        <c:axPos val="b"/>
        <c:majorTickMark val="out"/>
        <c:minorTickMark val="none"/>
        <c:tickLblPos val="nextTo"/>
        <c:crossAx val="-1373368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216195962208099"/>
          <c:y val="0.87931116429242495"/>
          <c:w val="0.80223209313362298"/>
          <c:h val="0.1088912361588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Production, use and nrw, l</a:t>
            </a:r>
            <a:r>
              <a:rPr lang="en-US" baseline="0"/>
              <a:t> / c / 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293723874879"/>
          <c:y val="0.12967328269195899"/>
          <c:w val="0.82073139199489897"/>
          <c:h val="0.68950261509282096"/>
        </c:manualLayout>
      </c:layout>
      <c:lineChart>
        <c:grouping val="standard"/>
        <c:varyColors val="0"/>
        <c:ser>
          <c:idx val="1"/>
          <c:order val="0"/>
          <c:tx>
            <c:strRef>
              <c:f>'System Attributes and Operation'!$B$44</c:f>
              <c:strCache>
                <c:ptCount val="1"/>
                <c:pt idx="0">
                  <c:v>Water Production, L / Conn / Day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2.6514860829888898E-2"/>
                  <c:y val="-6.6749002483442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44-4982-BE5F-887B18FBD905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'System Attributes and Operation'!$D$3:$S$3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'System Attributes and Operation'!$D$44:$S$44</c:f>
              <c:numCache>
                <c:formatCode>#,##0</c:formatCod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E44-4982-BE5F-887B18FBD905}"/>
            </c:ext>
          </c:extLst>
        </c:ser>
        <c:ser>
          <c:idx val="0"/>
          <c:order val="1"/>
          <c:tx>
            <c:strRef>
              <c:f>'System Attributes and Operation'!$B$46</c:f>
              <c:strCache>
                <c:ptCount val="1"/>
                <c:pt idx="0">
                  <c:v>NRW, L / Conn / Day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'System Attributes and Operation'!$D$3:$S$3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'System Attributes and Operation'!#REF!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E44-4982-BE5F-887B18FBD905}"/>
            </c:ext>
          </c:extLst>
        </c:ser>
        <c:ser>
          <c:idx val="2"/>
          <c:order val="2"/>
          <c:tx>
            <c:strRef>
              <c:f>'System Attributes and Operation'!$B$45</c:f>
              <c:strCache>
                <c:ptCount val="1"/>
                <c:pt idx="0">
                  <c:v>Water Billed, L / Conn / Day</c:v>
                </c:pt>
              </c:strCache>
            </c:strRef>
          </c:tx>
          <c:spPr>
            <a:ln w="3492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0595750873382999E-2"/>
                  <c:y val="4.5527047339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44-4982-BE5F-887B18FBD905}"/>
                </c:ext>
              </c:extLst>
            </c:dLbl>
            <c:dLbl>
              <c:idx val="2"/>
              <c:layout>
                <c:manualLayout>
                  <c:x val="-3.1452174026803198E-2"/>
                  <c:y val="5.44626567747985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0637346064681702E-2"/>
                      <c:h val="5.48944272989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2E44-4982-BE5F-887B18FBD9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'System Attributes and Operation'!$D$3:$S$3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'System Attributes and Operation'!$D$45:$S$45</c:f>
              <c:numCache>
                <c:formatCode>#,##0</c:formatCod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44-4982-BE5F-887B18FBD905}"/>
            </c:ext>
          </c:extLst>
        </c:ser>
        <c:ser>
          <c:idx val="3"/>
          <c:order val="3"/>
          <c:tx>
            <c:strRef>
              <c:f>'System Attributes and Operation'!$B$46</c:f>
              <c:strCache>
                <c:ptCount val="1"/>
                <c:pt idx="0">
                  <c:v>NRW, L / Conn / Day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5356170205132898E-2"/>
                  <c:y val="-7.3242212006597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44-4982-BE5F-887B18FBD905}"/>
                </c:ext>
              </c:extLst>
            </c:dLbl>
            <c:dLbl>
              <c:idx val="2"/>
              <c:layout>
                <c:manualLayout>
                  <c:x val="-4.0217631284611803E-2"/>
                  <c:y val="-5.2392456657017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44-4982-BE5F-887B18FBD905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'System Attributes and Operation'!$D$3:$S$3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'System Attributes and Operation'!$D$46:$S$46</c:f>
              <c:numCache>
                <c:formatCode>#,##0</c:formatCod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2E44-4982-BE5F-887B18FBD9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373080608"/>
        <c:axId val="-1373078288"/>
      </c:lineChart>
      <c:catAx>
        <c:axId val="-1373080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73078288"/>
        <c:crosses val="autoZero"/>
        <c:auto val="1"/>
        <c:lblAlgn val="ctr"/>
        <c:lblOffset val="100"/>
        <c:noMultiLvlLbl val="0"/>
      </c:catAx>
      <c:valAx>
        <c:axId val="-137307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7308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205031614152603"/>
          <c:y val="9.8622157168692298E-2"/>
          <c:w val="0.385570335336195"/>
          <c:h val="0.1826992060441310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835843</xdr:colOff>
      <xdr:row>1</xdr:row>
      <xdr:rowOff>183877</xdr:rowOff>
    </xdr:from>
    <xdr:to>
      <xdr:col>19</xdr:col>
      <xdr:colOff>325100</xdr:colOff>
      <xdr:row>24</xdr:row>
      <xdr:rowOff>147938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43356</xdr:colOff>
      <xdr:row>26</xdr:row>
      <xdr:rowOff>101885</xdr:rowOff>
    </xdr:from>
    <xdr:to>
      <xdr:col>19</xdr:col>
      <xdr:colOff>266841</xdr:colOff>
      <xdr:row>49</xdr:row>
      <xdr:rowOff>115492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1245810</xdr:colOff>
      <xdr:row>26</xdr:row>
      <xdr:rowOff>131536</xdr:rowOff>
    </xdr:from>
    <xdr:to>
      <xdr:col>9</xdr:col>
      <xdr:colOff>344714</xdr:colOff>
      <xdr:row>48</xdr:row>
      <xdr:rowOff>179162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1335331</xdr:colOff>
      <xdr:row>1</xdr:row>
      <xdr:rowOff>57929</xdr:rowOff>
    </xdr:from>
    <xdr:to>
      <xdr:col>9</xdr:col>
      <xdr:colOff>294371</xdr:colOff>
      <xdr:row>25</xdr:row>
      <xdr:rowOff>96830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</xdr:row>
      <xdr:rowOff>71438</xdr:rowOff>
    </xdr:from>
    <xdr:to>
      <xdr:col>3</xdr:col>
      <xdr:colOff>952499</xdr:colOff>
      <xdr:row>25</xdr:row>
      <xdr:rowOff>107155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270808</xdr:colOff>
      <xdr:row>26</xdr:row>
      <xdr:rowOff>186764</xdr:rowOff>
    </xdr:from>
    <xdr:to>
      <xdr:col>3</xdr:col>
      <xdr:colOff>952499</xdr:colOff>
      <xdr:row>49</xdr:row>
      <xdr:rowOff>155015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E32"/>
  <sheetViews>
    <sheetView tabSelected="1" zoomScale="80" zoomScaleNormal="80" zoomScalePageLayoutView="11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C1" sqref="C1:C1048576"/>
    </sheetView>
  </sheetViews>
  <sheetFormatPr defaultColWidth="8.81640625" defaultRowHeight="14.5" x14ac:dyDescent="0.35"/>
  <cols>
    <col min="1" max="1" width="3.453125" customWidth="1"/>
    <col min="2" max="2" width="58.81640625" customWidth="1"/>
    <col min="3" max="3" width="41.453125" hidden="1" customWidth="1"/>
    <col min="4" max="4" width="13.36328125" customWidth="1"/>
    <col min="5" max="18" width="13" customWidth="1"/>
    <col min="19" max="19" width="13.36328125" customWidth="1"/>
    <col min="20" max="20" width="40.1796875" customWidth="1"/>
  </cols>
  <sheetData>
    <row r="1" spans="1:31" ht="19.5" customHeight="1" x14ac:dyDescent="0.35">
      <c r="A1" s="254"/>
      <c r="B1" s="256" t="s">
        <v>130</v>
      </c>
      <c r="C1" s="257" t="s">
        <v>172</v>
      </c>
      <c r="D1" s="257"/>
      <c r="E1" s="257"/>
      <c r="F1" s="257"/>
      <c r="G1" s="257"/>
      <c r="H1" s="257"/>
      <c r="I1" s="257"/>
      <c r="J1" s="257"/>
      <c r="K1" s="257"/>
      <c r="L1" s="257"/>
      <c r="M1" s="398"/>
      <c r="N1" s="398"/>
      <c r="O1" s="258"/>
      <c r="P1" s="258"/>
      <c r="Q1" s="399"/>
      <c r="R1" s="399"/>
      <c r="S1" s="259"/>
      <c r="T1" s="260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</row>
    <row r="2" spans="1:31" ht="18.5" x14ac:dyDescent="0.45">
      <c r="B2" s="261"/>
      <c r="C2" s="4"/>
      <c r="D2" s="4"/>
      <c r="E2" s="400"/>
      <c r="F2" s="400"/>
      <c r="G2" s="400"/>
      <c r="H2" s="400"/>
      <c r="I2" s="400"/>
      <c r="J2" s="31"/>
      <c r="K2" s="31"/>
      <c r="L2" s="31"/>
      <c r="M2" s="31"/>
      <c r="N2" s="31"/>
      <c r="O2" s="31"/>
      <c r="P2" s="31"/>
      <c r="Q2" s="31"/>
      <c r="R2" s="31"/>
      <c r="S2" s="4"/>
      <c r="T2" s="262"/>
    </row>
    <row r="3" spans="1:31" ht="15" customHeight="1" x14ac:dyDescent="0.35">
      <c r="B3" s="263" t="s">
        <v>45</v>
      </c>
      <c r="C3" s="35"/>
      <c r="D3" s="128">
        <v>2000</v>
      </c>
      <c r="E3" s="231">
        <v>2001</v>
      </c>
      <c r="F3" s="231">
        <v>2002</v>
      </c>
      <c r="G3" s="128">
        <v>2003</v>
      </c>
      <c r="H3" s="231">
        <v>2004</v>
      </c>
      <c r="I3" s="231">
        <v>2005</v>
      </c>
      <c r="J3" s="128">
        <v>2006</v>
      </c>
      <c r="K3" s="231">
        <v>2007</v>
      </c>
      <c r="L3" s="231">
        <v>2008</v>
      </c>
      <c r="M3" s="128">
        <v>2009</v>
      </c>
      <c r="N3" s="231">
        <v>2010</v>
      </c>
      <c r="O3" s="231">
        <v>2011</v>
      </c>
      <c r="P3" s="128">
        <v>2012</v>
      </c>
      <c r="Q3" s="231">
        <v>2013</v>
      </c>
      <c r="R3" s="231">
        <v>2014</v>
      </c>
      <c r="S3" s="128">
        <v>2015</v>
      </c>
      <c r="T3" s="264" t="s">
        <v>12</v>
      </c>
      <c r="V3" s="69"/>
      <c r="W3" s="69"/>
      <c r="X3" s="69"/>
      <c r="Y3" s="69"/>
    </row>
    <row r="4" spans="1:31" s="269" customFormat="1" ht="20" customHeight="1" x14ac:dyDescent="0.35">
      <c r="B4" s="270" t="s">
        <v>3</v>
      </c>
      <c r="C4" s="271" t="s">
        <v>117</v>
      </c>
      <c r="D4" s="272"/>
      <c r="E4" s="272">
        <f>+'System Attributes and Operation'!E4</f>
        <v>0</v>
      </c>
      <c r="F4" s="272">
        <f>+'System Attributes and Operation'!F4</f>
        <v>0</v>
      </c>
      <c r="G4" s="272">
        <f>+'System Attributes and Operation'!G4</f>
        <v>0</v>
      </c>
      <c r="H4" s="272">
        <f>+'System Attributes and Operation'!H4</f>
        <v>0</v>
      </c>
      <c r="I4" s="272">
        <f>+'System Attributes and Operation'!I4</f>
        <v>0</v>
      </c>
      <c r="J4" s="272">
        <f>+'System Attributes and Operation'!J4</f>
        <v>0</v>
      </c>
      <c r="K4" s="272">
        <f>+'System Attributes and Operation'!K4</f>
        <v>0</v>
      </c>
      <c r="L4" s="272">
        <f>+'System Attributes and Operation'!L4</f>
        <v>0</v>
      </c>
      <c r="M4" s="272">
        <f>+'System Attributes and Operation'!M4</f>
        <v>0</v>
      </c>
      <c r="N4" s="272">
        <f>+'System Attributes and Operation'!N4</f>
        <v>0</v>
      </c>
      <c r="O4" s="272">
        <f>+'System Attributes and Operation'!O4</f>
        <v>0</v>
      </c>
      <c r="P4" s="272">
        <f>+'System Attributes and Operation'!P4</f>
        <v>0</v>
      </c>
      <c r="Q4" s="272">
        <f>+'System Attributes and Operation'!Q4</f>
        <v>0</v>
      </c>
      <c r="R4" s="272">
        <f>+'System Attributes and Operation'!R4</f>
        <v>0</v>
      </c>
      <c r="S4" s="272"/>
      <c r="T4" s="273"/>
      <c r="V4" s="274"/>
      <c r="W4" s="274"/>
      <c r="X4" s="274"/>
      <c r="Y4" s="274"/>
    </row>
    <row r="5" spans="1:31" s="269" customFormat="1" ht="20" customHeight="1" x14ac:dyDescent="0.35">
      <c r="B5" s="270" t="s">
        <v>4</v>
      </c>
      <c r="C5" s="271" t="s">
        <v>59</v>
      </c>
      <c r="D5" s="275"/>
      <c r="E5" s="275">
        <f>+'System Attributes and Operation'!E14</f>
        <v>0</v>
      </c>
      <c r="F5" s="275">
        <f>+'System Attributes and Operation'!F14</f>
        <v>0</v>
      </c>
      <c r="G5" s="275">
        <f>+'System Attributes and Operation'!G14</f>
        <v>0</v>
      </c>
      <c r="H5" s="275">
        <f>+'System Attributes and Operation'!H14</f>
        <v>0</v>
      </c>
      <c r="I5" s="275">
        <f>+'System Attributes and Operation'!I14</f>
        <v>0</v>
      </c>
      <c r="J5" s="275">
        <f>+'System Attributes and Operation'!J14</f>
        <v>0</v>
      </c>
      <c r="K5" s="275">
        <f>+'System Attributes and Operation'!K14</f>
        <v>0</v>
      </c>
      <c r="L5" s="275">
        <f>+'System Attributes and Operation'!L14</f>
        <v>0</v>
      </c>
      <c r="M5" s="275">
        <f>+'System Attributes and Operation'!M14</f>
        <v>0</v>
      </c>
      <c r="N5" s="275">
        <f>+'System Attributes and Operation'!N14</f>
        <v>0</v>
      </c>
      <c r="O5" s="275">
        <f>+'System Attributes and Operation'!O14</f>
        <v>0</v>
      </c>
      <c r="P5" s="275">
        <f>+'System Attributes and Operation'!P14</f>
        <v>0</v>
      </c>
      <c r="Q5" s="275">
        <f>+'System Attributes and Operation'!Q14</f>
        <v>0</v>
      </c>
      <c r="R5" s="275">
        <f>+'System Attributes and Operation'!R14</f>
        <v>0</v>
      </c>
      <c r="S5" s="275"/>
      <c r="T5" s="276"/>
    </row>
    <row r="6" spans="1:31" s="269" customFormat="1" ht="20" customHeight="1" x14ac:dyDescent="0.35">
      <c r="B6" s="270" t="s">
        <v>2</v>
      </c>
      <c r="C6" s="271" t="s">
        <v>119</v>
      </c>
      <c r="D6" s="277"/>
      <c r="E6" s="277" t="e">
        <f t="shared" ref="E6:L6" si="0">+E5/E4</f>
        <v>#DIV/0!</v>
      </c>
      <c r="F6" s="277" t="e">
        <f t="shared" si="0"/>
        <v>#DIV/0!</v>
      </c>
      <c r="G6" s="277" t="e">
        <f t="shared" si="0"/>
        <v>#DIV/0!</v>
      </c>
      <c r="H6" s="277" t="e">
        <f t="shared" si="0"/>
        <v>#DIV/0!</v>
      </c>
      <c r="I6" s="277" t="e">
        <f t="shared" si="0"/>
        <v>#DIV/0!</v>
      </c>
      <c r="J6" s="277" t="e">
        <f t="shared" si="0"/>
        <v>#DIV/0!</v>
      </c>
      <c r="K6" s="277" t="e">
        <f t="shared" si="0"/>
        <v>#DIV/0!</v>
      </c>
      <c r="L6" s="277" t="e">
        <f t="shared" si="0"/>
        <v>#DIV/0!</v>
      </c>
      <c r="M6" s="277" t="e">
        <f t="shared" ref="M6:N6" si="1">+M5/M4</f>
        <v>#DIV/0!</v>
      </c>
      <c r="N6" s="277" t="e">
        <f t="shared" si="1"/>
        <v>#DIV/0!</v>
      </c>
      <c r="O6" s="277" t="e">
        <f t="shared" ref="O6:P6" si="2">+O5/O4</f>
        <v>#DIV/0!</v>
      </c>
      <c r="P6" s="277" t="e">
        <f t="shared" si="2"/>
        <v>#DIV/0!</v>
      </c>
      <c r="Q6" s="277" t="e">
        <f>+Q5/Q4</f>
        <v>#DIV/0!</v>
      </c>
      <c r="R6" s="277" t="e">
        <f t="shared" ref="R6" si="3">+R5/R4</f>
        <v>#DIV/0!</v>
      </c>
      <c r="S6" s="277"/>
      <c r="T6" s="276"/>
    </row>
    <row r="7" spans="1:31" s="269" customFormat="1" ht="20" customHeight="1" x14ac:dyDescent="0.35">
      <c r="B7" s="270" t="s">
        <v>137</v>
      </c>
      <c r="C7" s="278" t="s">
        <v>168</v>
      </c>
      <c r="D7" s="279"/>
      <c r="E7" s="279"/>
      <c r="F7" s="279"/>
      <c r="G7" s="279"/>
      <c r="H7" s="279"/>
      <c r="I7" s="279"/>
      <c r="J7" s="279"/>
      <c r="K7" s="279"/>
      <c r="L7" s="279">
        <f>+'System Attributes and Operation'!L21</f>
        <v>0</v>
      </c>
      <c r="M7" s="279">
        <f>+'System Attributes and Operation'!M21</f>
        <v>0</v>
      </c>
      <c r="N7" s="279">
        <f>+'System Attributes and Operation'!N21</f>
        <v>0</v>
      </c>
      <c r="O7" s="279">
        <f>+'System Attributes and Operation'!O21</f>
        <v>0</v>
      </c>
      <c r="P7" s="279">
        <f>+'System Attributes and Operation'!P21</f>
        <v>0</v>
      </c>
      <c r="Q7" s="279">
        <f>+'System Attributes and Operation'!Q21</f>
        <v>0</v>
      </c>
      <c r="R7" s="279">
        <f>+'System Attributes and Operation'!R21</f>
        <v>0</v>
      </c>
      <c r="S7" s="279"/>
      <c r="T7" s="276"/>
    </row>
    <row r="8" spans="1:31" s="269" customFormat="1" ht="20" customHeight="1" x14ac:dyDescent="0.35">
      <c r="B8" s="270" t="s">
        <v>133</v>
      </c>
      <c r="C8" s="280" t="s">
        <v>171</v>
      </c>
      <c r="D8" s="281"/>
      <c r="E8" s="281" t="e">
        <f>+'Water Balance'!E18</f>
        <v>#DIV/0!</v>
      </c>
      <c r="F8" s="281" t="e">
        <f>+'Water Balance'!F18</f>
        <v>#DIV/0!</v>
      </c>
      <c r="G8" s="281" t="e">
        <f>+'Water Balance'!G18</f>
        <v>#DIV/0!</v>
      </c>
      <c r="H8" s="281" t="e">
        <f>+'Water Balance'!H18</f>
        <v>#DIV/0!</v>
      </c>
      <c r="I8" s="281" t="e">
        <f>+'Water Balance'!I18</f>
        <v>#DIV/0!</v>
      </c>
      <c r="J8" s="281" t="e">
        <f>+'Water Balance'!J18</f>
        <v>#DIV/0!</v>
      </c>
      <c r="K8" s="281" t="e">
        <f>+'Water Balance'!K18</f>
        <v>#DIV/0!</v>
      </c>
      <c r="L8" s="281" t="e">
        <f>+'Water Balance'!L18</f>
        <v>#DIV/0!</v>
      </c>
      <c r="M8" s="281" t="e">
        <f>+'Water Balance'!M18</f>
        <v>#DIV/0!</v>
      </c>
      <c r="N8" s="281" t="e">
        <f>+'Water Balance'!N18</f>
        <v>#DIV/0!</v>
      </c>
      <c r="O8" s="281" t="e">
        <f>+'Water Balance'!O18</f>
        <v>#DIV/0!</v>
      </c>
      <c r="P8" s="281" t="e">
        <f>+'Water Balance'!P18</f>
        <v>#DIV/0!</v>
      </c>
      <c r="Q8" s="281" t="e">
        <f>+'Water Balance'!Q18</f>
        <v>#DIV/0!</v>
      </c>
      <c r="R8" s="281" t="e">
        <f>+'Water Balance'!R18</f>
        <v>#DIV/0!</v>
      </c>
      <c r="S8" s="281"/>
      <c r="T8" s="276"/>
    </row>
    <row r="9" spans="1:31" s="269" customFormat="1" ht="20" customHeight="1" x14ac:dyDescent="0.35">
      <c r="B9" s="270" t="s">
        <v>5</v>
      </c>
      <c r="C9" s="271" t="s">
        <v>63</v>
      </c>
      <c r="D9" s="271"/>
      <c r="E9" s="271">
        <f>+'System Attributes and Operation'!E25</f>
        <v>0</v>
      </c>
      <c r="F9" s="271">
        <f>+'System Attributes and Operation'!F25</f>
        <v>0</v>
      </c>
      <c r="G9" s="271">
        <f>+'System Attributes and Operation'!G25</f>
        <v>0</v>
      </c>
      <c r="H9" s="271">
        <f>+'System Attributes and Operation'!H25</f>
        <v>0</v>
      </c>
      <c r="I9" s="271">
        <f>+'System Attributes and Operation'!I25</f>
        <v>0</v>
      </c>
      <c r="J9" s="271">
        <f>+'System Attributes and Operation'!J25</f>
        <v>0</v>
      </c>
      <c r="K9" s="271">
        <f>+'System Attributes and Operation'!K25</f>
        <v>0</v>
      </c>
      <c r="L9" s="271">
        <f>+'System Attributes and Operation'!L25</f>
        <v>0</v>
      </c>
      <c r="M9" s="271">
        <f>+'System Attributes and Operation'!M25</f>
        <v>0</v>
      </c>
      <c r="N9" s="271">
        <f>+'System Attributes and Operation'!N25</f>
        <v>0</v>
      </c>
      <c r="O9" s="271">
        <f>+'System Attributes and Operation'!O25</f>
        <v>0</v>
      </c>
      <c r="P9" s="278">
        <f>+'System Attributes and Operation'!P25</f>
        <v>0</v>
      </c>
      <c r="Q9" s="271">
        <f>+'System Attributes and Operation'!Q25</f>
        <v>0</v>
      </c>
      <c r="R9" s="271">
        <f>+'System Attributes and Operation'!R25</f>
        <v>0</v>
      </c>
      <c r="S9" s="271"/>
      <c r="T9" s="276"/>
    </row>
    <row r="10" spans="1:31" s="269" customFormat="1" ht="20" customHeight="1" x14ac:dyDescent="0.35">
      <c r="B10" s="270" t="s">
        <v>132</v>
      </c>
      <c r="C10" s="271" t="s">
        <v>64</v>
      </c>
      <c r="D10" s="279"/>
      <c r="E10" s="279">
        <f>+'System Attributes and Operation'!E27</f>
        <v>0</v>
      </c>
      <c r="F10" s="279">
        <f>+'System Attributes and Operation'!F27</f>
        <v>0</v>
      </c>
      <c r="G10" s="279">
        <f>+'System Attributes and Operation'!G27</f>
        <v>0</v>
      </c>
      <c r="H10" s="279">
        <f>+'System Attributes and Operation'!H27</f>
        <v>0</v>
      </c>
      <c r="I10" s="279">
        <f>+'System Attributes and Operation'!I27</f>
        <v>0</v>
      </c>
      <c r="J10" s="279">
        <f>+'System Attributes and Operation'!J27</f>
        <v>0</v>
      </c>
      <c r="K10" s="279">
        <f>+'System Attributes and Operation'!K27</f>
        <v>0</v>
      </c>
      <c r="L10" s="279">
        <f>+'System Attributes and Operation'!L27</f>
        <v>0</v>
      </c>
      <c r="M10" s="279">
        <f>+'System Attributes and Operation'!M27</f>
        <v>0</v>
      </c>
      <c r="N10" s="279">
        <f>+'System Attributes and Operation'!N27</f>
        <v>0</v>
      </c>
      <c r="O10" s="279">
        <f>+'System Attributes and Operation'!O27</f>
        <v>0</v>
      </c>
      <c r="P10" s="279">
        <f>+'System Attributes and Operation'!P27</f>
        <v>0</v>
      </c>
      <c r="Q10" s="279">
        <f>+'System Attributes and Operation'!Q27</f>
        <v>0</v>
      </c>
      <c r="R10" s="279">
        <f>+'System Attributes and Operation'!R27</f>
        <v>0</v>
      </c>
      <c r="S10" s="279"/>
      <c r="T10" s="276"/>
    </row>
    <row r="11" spans="1:31" s="269" customFormat="1" ht="20" customHeight="1" x14ac:dyDescent="0.35">
      <c r="B11" s="270" t="s">
        <v>138</v>
      </c>
      <c r="C11" s="271" t="s">
        <v>169</v>
      </c>
      <c r="D11" s="282"/>
      <c r="E11" s="282" t="e">
        <f>+'System Attributes and Operation'!E50</f>
        <v>#DIV/0!</v>
      </c>
      <c r="F11" s="282" t="e">
        <f>+'System Attributes and Operation'!F50</f>
        <v>#DIV/0!</v>
      </c>
      <c r="G11" s="282" t="e">
        <f>+'System Attributes and Operation'!G50</f>
        <v>#DIV/0!</v>
      </c>
      <c r="H11" s="282" t="e">
        <f>+'System Attributes and Operation'!H50</f>
        <v>#DIV/0!</v>
      </c>
      <c r="I11" s="282" t="e">
        <f>+'System Attributes and Operation'!I50</f>
        <v>#DIV/0!</v>
      </c>
      <c r="J11" s="282" t="e">
        <f>+'System Attributes and Operation'!J50</f>
        <v>#DIV/0!</v>
      </c>
      <c r="K11" s="282" t="e">
        <f>+'System Attributes and Operation'!K50</f>
        <v>#DIV/0!</v>
      </c>
      <c r="L11" s="282" t="e">
        <f>+'System Attributes and Operation'!L50</f>
        <v>#DIV/0!</v>
      </c>
      <c r="M11" s="282" t="e">
        <f>+'System Attributes and Operation'!M50</f>
        <v>#DIV/0!</v>
      </c>
      <c r="N11" s="282" t="e">
        <f>+'System Attributes and Operation'!N50</f>
        <v>#DIV/0!</v>
      </c>
      <c r="O11" s="282" t="e">
        <f>+'System Attributes and Operation'!O50</f>
        <v>#DIV/0!</v>
      </c>
      <c r="P11" s="282" t="e">
        <f>+'System Attributes and Operation'!P50</f>
        <v>#DIV/0!</v>
      </c>
      <c r="Q11" s="282" t="e">
        <f>+'System Attributes and Operation'!Q50</f>
        <v>#DIV/0!</v>
      </c>
      <c r="R11" s="282" t="e">
        <f>+'System Attributes and Operation'!R50</f>
        <v>#DIV/0!</v>
      </c>
      <c r="S11" s="282"/>
      <c r="T11" s="276"/>
    </row>
    <row r="12" spans="1:31" s="269" customFormat="1" ht="20" customHeight="1" x14ac:dyDescent="0.35">
      <c r="B12" s="270" t="s">
        <v>218</v>
      </c>
      <c r="C12" s="271" t="s">
        <v>170</v>
      </c>
      <c r="D12" s="282"/>
      <c r="E12" s="282" t="e">
        <f>+'System Attributes and Operation'!E51</f>
        <v>#DIV/0!</v>
      </c>
      <c r="F12" s="282" t="e">
        <f>+'System Attributes and Operation'!F51</f>
        <v>#DIV/0!</v>
      </c>
      <c r="G12" s="282" t="e">
        <f>+'System Attributes and Operation'!G51</f>
        <v>#DIV/0!</v>
      </c>
      <c r="H12" s="282" t="e">
        <f>+'System Attributes and Operation'!H51</f>
        <v>#DIV/0!</v>
      </c>
      <c r="I12" s="282" t="e">
        <f>+'System Attributes and Operation'!I51</f>
        <v>#DIV/0!</v>
      </c>
      <c r="J12" s="282" t="e">
        <f>+'System Attributes and Operation'!J51</f>
        <v>#DIV/0!</v>
      </c>
      <c r="K12" s="282" t="e">
        <f>+'System Attributes and Operation'!K51</f>
        <v>#DIV/0!</v>
      </c>
      <c r="L12" s="282" t="e">
        <f>+'System Attributes and Operation'!L51</f>
        <v>#DIV/0!</v>
      </c>
      <c r="M12" s="282" t="e">
        <f>+'System Attributes and Operation'!M51</f>
        <v>#DIV/0!</v>
      </c>
      <c r="N12" s="282" t="e">
        <f>+'System Attributes and Operation'!N51</f>
        <v>#DIV/0!</v>
      </c>
      <c r="O12" s="282" t="e">
        <f>+'System Attributes and Operation'!O51</f>
        <v>#DIV/0!</v>
      </c>
      <c r="P12" s="282" t="e">
        <f>+'System Attributes and Operation'!P51</f>
        <v>#DIV/0!</v>
      </c>
      <c r="Q12" s="282" t="e">
        <f>+'System Attributes and Operation'!Q51</f>
        <v>#DIV/0!</v>
      </c>
      <c r="R12" s="282" t="e">
        <f>+'System Attributes and Operation'!R51</f>
        <v>#DIV/0!</v>
      </c>
      <c r="S12" s="282"/>
      <c r="T12" s="276"/>
    </row>
    <row r="13" spans="1:31" s="269" customFormat="1" ht="20" customHeight="1" x14ac:dyDescent="0.35">
      <c r="B13" s="283" t="s">
        <v>227</v>
      </c>
      <c r="C13" s="284" t="s">
        <v>72</v>
      </c>
      <c r="D13" s="285"/>
      <c r="E13" s="285"/>
      <c r="F13" s="285"/>
      <c r="G13" s="285"/>
      <c r="H13" s="285"/>
      <c r="I13" s="285"/>
      <c r="J13" s="285"/>
      <c r="K13" s="285"/>
      <c r="L13" s="285"/>
      <c r="M13" s="286"/>
      <c r="N13" s="286"/>
      <c r="O13" s="286"/>
      <c r="P13" s="286"/>
      <c r="Q13" s="232"/>
      <c r="R13" s="232"/>
      <c r="S13" s="232"/>
      <c r="T13" s="287"/>
    </row>
    <row r="14" spans="1:31" s="269" customFormat="1" ht="20" customHeight="1" x14ac:dyDescent="0.35">
      <c r="B14" s="288" t="s">
        <v>243</v>
      </c>
      <c r="C14" s="278" t="str">
        <f>+'Utility Finances'!C8</f>
        <v>Total de ingresos  operacionales</v>
      </c>
      <c r="D14" s="289"/>
      <c r="E14" s="289">
        <f>+'Utility Finances'!E10/1000</f>
        <v>0</v>
      </c>
      <c r="F14" s="289">
        <f>+'Utility Finances'!F10/1000</f>
        <v>0</v>
      </c>
      <c r="G14" s="289">
        <f>+'Utility Finances'!G10/1000</f>
        <v>0</v>
      </c>
      <c r="H14" s="289">
        <f>+'Utility Finances'!H10/1000</f>
        <v>0</v>
      </c>
      <c r="I14" s="289">
        <f>+'Utility Finances'!I10/1000</f>
        <v>0</v>
      </c>
      <c r="J14" s="289">
        <f>+'Utility Finances'!J10/1000</f>
        <v>0</v>
      </c>
      <c r="K14" s="289">
        <f>+'Utility Finances'!K10/1000</f>
        <v>0</v>
      </c>
      <c r="L14" s="289">
        <f>+'Utility Finances'!L10/1000</f>
        <v>0</v>
      </c>
      <c r="M14" s="289">
        <f>+'Utility Finances'!M10/1000</f>
        <v>0</v>
      </c>
      <c r="N14" s="289">
        <f>+'Utility Finances'!N10/1000</f>
        <v>0</v>
      </c>
      <c r="O14" s="289">
        <f>+'Utility Finances'!O10/1000</f>
        <v>0</v>
      </c>
      <c r="P14" s="289">
        <f>+'Utility Finances'!P10/1000</f>
        <v>0</v>
      </c>
      <c r="Q14" s="289">
        <f>+'Utility Finances'!Q10/1000</f>
        <v>0</v>
      </c>
      <c r="R14" s="289">
        <f>+'Utility Finances'!R10/1000</f>
        <v>0</v>
      </c>
      <c r="S14" s="289"/>
      <c r="T14" s="290"/>
    </row>
    <row r="15" spans="1:31" s="269" customFormat="1" ht="20" customHeight="1" x14ac:dyDescent="0.35">
      <c r="B15" s="288" t="s">
        <v>244</v>
      </c>
      <c r="C15" s="278" t="str">
        <f>+'Utility Finances'!C17</f>
        <v>Costos totales de operación</v>
      </c>
      <c r="D15" s="289"/>
      <c r="E15" s="289">
        <f>+'Utility Finances'!E17/1000</f>
        <v>0</v>
      </c>
      <c r="F15" s="289">
        <f>+'Utility Finances'!F17/1000</f>
        <v>0</v>
      </c>
      <c r="G15" s="289">
        <f>+'Utility Finances'!G17/1000</f>
        <v>0</v>
      </c>
      <c r="H15" s="289">
        <f>+'Utility Finances'!H17/1000</f>
        <v>0</v>
      </c>
      <c r="I15" s="289">
        <f>+'Utility Finances'!I17/1000</f>
        <v>0</v>
      </c>
      <c r="J15" s="289">
        <f>+'Utility Finances'!J17/1000</f>
        <v>0</v>
      </c>
      <c r="K15" s="289">
        <f>+'Utility Finances'!K17/1000</f>
        <v>0</v>
      </c>
      <c r="L15" s="289">
        <f>+'Utility Finances'!L17/1000</f>
        <v>0</v>
      </c>
      <c r="M15" s="289">
        <f>+'Utility Finances'!M17/1000</f>
        <v>0</v>
      </c>
      <c r="N15" s="289">
        <f>+'Utility Finances'!N17/1000</f>
        <v>0</v>
      </c>
      <c r="O15" s="289">
        <f>+'Utility Finances'!O17/1000</f>
        <v>0</v>
      </c>
      <c r="P15" s="289">
        <f>+'Utility Finances'!P17/1000</f>
        <v>0</v>
      </c>
      <c r="Q15" s="289">
        <f>+'Utility Finances'!Q17/1000</f>
        <v>0</v>
      </c>
      <c r="R15" s="289">
        <f>+'Utility Finances'!R17/1000</f>
        <v>0</v>
      </c>
      <c r="S15" s="289"/>
      <c r="T15" s="290"/>
    </row>
    <row r="16" spans="1:31" s="291" customFormat="1" ht="20" customHeight="1" x14ac:dyDescent="0.35">
      <c r="B16" s="288" t="s">
        <v>131</v>
      </c>
      <c r="C16" s="278" t="s">
        <v>86</v>
      </c>
      <c r="D16" s="289"/>
      <c r="E16" s="292" t="e">
        <f>+'Utility Finances'!E26</f>
        <v>#DIV/0!</v>
      </c>
      <c r="F16" s="292" t="e">
        <f>+'Utility Finances'!F26</f>
        <v>#DIV/0!</v>
      </c>
      <c r="G16" s="292" t="e">
        <f>+'Utility Finances'!G26</f>
        <v>#DIV/0!</v>
      </c>
      <c r="H16" s="292" t="e">
        <f>+'Utility Finances'!H26</f>
        <v>#DIV/0!</v>
      </c>
      <c r="I16" s="292" t="e">
        <f>+'Utility Finances'!I26</f>
        <v>#DIV/0!</v>
      </c>
      <c r="J16" s="292" t="e">
        <f>+'Utility Finances'!J26</f>
        <v>#DIV/0!</v>
      </c>
      <c r="K16" s="292" t="e">
        <f>+'Utility Finances'!K26</f>
        <v>#DIV/0!</v>
      </c>
      <c r="L16" s="292" t="e">
        <f>+'Utility Finances'!L26</f>
        <v>#DIV/0!</v>
      </c>
      <c r="M16" s="292" t="e">
        <f>+'Utility Finances'!M26</f>
        <v>#DIV/0!</v>
      </c>
      <c r="N16" s="292" t="e">
        <f>+'Utility Finances'!N26</f>
        <v>#DIV/0!</v>
      </c>
      <c r="O16" s="292" t="e">
        <f>+'Utility Finances'!O26</f>
        <v>#DIV/0!</v>
      </c>
      <c r="P16" s="292" t="e">
        <f>+'Utility Finances'!P26</f>
        <v>#DIV/0!</v>
      </c>
      <c r="Q16" s="292" t="e">
        <f>+'Utility Finances'!Q26</f>
        <v>#DIV/0!</v>
      </c>
      <c r="R16" s="292" t="e">
        <f>+'Utility Finances'!R26</f>
        <v>#DIV/0!</v>
      </c>
      <c r="S16" s="289"/>
      <c r="T16" s="293"/>
    </row>
    <row r="17" spans="1:20" s="291" customFormat="1" ht="20" customHeight="1" x14ac:dyDescent="0.35">
      <c r="B17" s="288" t="s">
        <v>245</v>
      </c>
      <c r="C17" s="278" t="s">
        <v>84</v>
      </c>
      <c r="D17" s="289"/>
      <c r="E17" s="294" t="e">
        <f>+'Utility Finances'!E28</f>
        <v>#DIV/0!</v>
      </c>
      <c r="F17" s="294" t="e">
        <f>+'Utility Finances'!F28</f>
        <v>#DIV/0!</v>
      </c>
      <c r="G17" s="294" t="e">
        <f>+'Utility Finances'!G28</f>
        <v>#DIV/0!</v>
      </c>
      <c r="H17" s="294" t="e">
        <f>+'Utility Finances'!H28</f>
        <v>#DIV/0!</v>
      </c>
      <c r="I17" s="294" t="e">
        <f>+'Utility Finances'!I28</f>
        <v>#DIV/0!</v>
      </c>
      <c r="J17" s="294" t="e">
        <f>+'Utility Finances'!J28</f>
        <v>#DIV/0!</v>
      </c>
      <c r="K17" s="294" t="e">
        <f>+'Utility Finances'!K28</f>
        <v>#DIV/0!</v>
      </c>
      <c r="L17" s="294" t="e">
        <f>+'Utility Finances'!L28</f>
        <v>#DIV/0!</v>
      </c>
      <c r="M17" s="294" t="e">
        <f>+'Utility Finances'!M28</f>
        <v>#DIV/0!</v>
      </c>
      <c r="N17" s="294" t="e">
        <f>+'Utility Finances'!N28</f>
        <v>#DIV/0!</v>
      </c>
      <c r="O17" s="294" t="e">
        <f>+'Utility Finances'!O28</f>
        <v>#DIV/0!</v>
      </c>
      <c r="P17" s="294" t="e">
        <f>+'Utility Finances'!P28</f>
        <v>#DIV/0!</v>
      </c>
      <c r="Q17" s="294" t="e">
        <f>+'Utility Finances'!Q28</f>
        <v>#DIV/0!</v>
      </c>
      <c r="R17" s="294" t="e">
        <f>+'Utility Finances'!R28</f>
        <v>#DIV/0!</v>
      </c>
      <c r="S17" s="289"/>
      <c r="T17" s="295"/>
    </row>
    <row r="18" spans="1:20" s="291" customFormat="1" ht="20" customHeight="1" x14ac:dyDescent="0.35">
      <c r="B18" s="288" t="s">
        <v>246</v>
      </c>
      <c r="C18" s="278" t="s">
        <v>96</v>
      </c>
      <c r="D18" s="296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6"/>
      <c r="T18" s="293"/>
    </row>
    <row r="19" spans="1:20" s="291" customFormat="1" ht="20" customHeight="1" x14ac:dyDescent="0.35">
      <c r="B19" s="288" t="s">
        <v>247</v>
      </c>
      <c r="C19" s="278" t="s">
        <v>233</v>
      </c>
      <c r="D19" s="289"/>
      <c r="E19" s="298" t="e">
        <f>+'Utility Finances'!E29</f>
        <v>#DIV/0!</v>
      </c>
      <c r="F19" s="298" t="e">
        <f>+'Utility Finances'!F29</f>
        <v>#DIV/0!</v>
      </c>
      <c r="G19" s="298" t="e">
        <f>+'Utility Finances'!G29</f>
        <v>#DIV/0!</v>
      </c>
      <c r="H19" s="298" t="e">
        <f>+'Utility Finances'!H29</f>
        <v>#DIV/0!</v>
      </c>
      <c r="I19" s="298" t="e">
        <f>+'Utility Finances'!I29</f>
        <v>#DIV/0!</v>
      </c>
      <c r="J19" s="298" t="e">
        <f>+'Utility Finances'!J29</f>
        <v>#DIV/0!</v>
      </c>
      <c r="K19" s="298" t="e">
        <f>+'Utility Finances'!K29</f>
        <v>#DIV/0!</v>
      </c>
      <c r="L19" s="298" t="e">
        <f>+'Utility Finances'!L29</f>
        <v>#DIV/0!</v>
      </c>
      <c r="M19" s="298" t="e">
        <f>+'Utility Finances'!M29</f>
        <v>#DIV/0!</v>
      </c>
      <c r="N19" s="298" t="e">
        <f>+'Utility Finances'!N29</f>
        <v>#DIV/0!</v>
      </c>
      <c r="O19" s="298" t="e">
        <f>+'Utility Finances'!O29</f>
        <v>#DIV/0!</v>
      </c>
      <c r="P19" s="298" t="e">
        <f>+'Utility Finances'!P29</f>
        <v>#DIV/0!</v>
      </c>
      <c r="Q19" s="298" t="e">
        <f>+'Utility Finances'!Q29</f>
        <v>#DIV/0!</v>
      </c>
      <c r="R19" s="298" t="e">
        <f>+'Utility Finances'!R29</f>
        <v>#DIV/0!</v>
      </c>
      <c r="S19" s="289"/>
      <c r="T19" s="293"/>
    </row>
    <row r="20" spans="1:20" s="269" customFormat="1" ht="20" customHeight="1" x14ac:dyDescent="0.35">
      <c r="B20" s="283" t="s">
        <v>18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99"/>
      <c r="R20" s="232"/>
      <c r="S20" s="232"/>
      <c r="T20" s="300" t="s">
        <v>12</v>
      </c>
    </row>
    <row r="21" spans="1:20" s="269" customFormat="1" ht="20" customHeight="1" x14ac:dyDescent="0.35">
      <c r="B21" s="270" t="s">
        <v>134</v>
      </c>
      <c r="C21" s="271" t="s">
        <v>70</v>
      </c>
      <c r="D21" s="275"/>
      <c r="E21" s="275" t="e">
        <f>+'Water Balance'!E20</f>
        <v>#DIV/0!</v>
      </c>
      <c r="F21" s="275" t="e">
        <f>+'Water Balance'!F20</f>
        <v>#DIV/0!</v>
      </c>
      <c r="G21" s="275" t="e">
        <f>+'Water Balance'!G20</f>
        <v>#DIV/0!</v>
      </c>
      <c r="H21" s="275" t="e">
        <f>+'Water Balance'!H20</f>
        <v>#DIV/0!</v>
      </c>
      <c r="I21" s="275" t="e">
        <f>+'Water Balance'!I20</f>
        <v>#DIV/0!</v>
      </c>
      <c r="J21" s="275" t="e">
        <f>+'Water Balance'!J20</f>
        <v>#DIV/0!</v>
      </c>
      <c r="K21" s="275" t="e">
        <f>+'Water Balance'!K20</f>
        <v>#DIV/0!</v>
      </c>
      <c r="L21" s="275" t="e">
        <f>+'Water Balance'!L20</f>
        <v>#DIV/0!</v>
      </c>
      <c r="M21" s="275" t="e">
        <f>+'Water Balance'!M20</f>
        <v>#DIV/0!</v>
      </c>
      <c r="N21" s="275" t="e">
        <f>+'Water Balance'!N20</f>
        <v>#DIV/0!</v>
      </c>
      <c r="O21" s="275" t="e">
        <f>+'Water Balance'!O20</f>
        <v>#DIV/0!</v>
      </c>
      <c r="P21" s="275" t="e">
        <f>+'Water Balance'!P20</f>
        <v>#DIV/0!</v>
      </c>
      <c r="Q21" s="275" t="e">
        <f>+'Water Balance'!Q20</f>
        <v>#DIV/0!</v>
      </c>
      <c r="R21" s="275" t="e">
        <f>+'Water Balance'!R20</f>
        <v>#DIV/0!</v>
      </c>
      <c r="S21" s="275"/>
      <c r="T21" s="293"/>
    </row>
    <row r="22" spans="1:20" s="269" customFormat="1" ht="20" customHeight="1" x14ac:dyDescent="0.35">
      <c r="B22" s="270" t="s">
        <v>128</v>
      </c>
      <c r="C22" s="271" t="s">
        <v>71</v>
      </c>
      <c r="D22" s="301"/>
      <c r="E22" s="301" t="e">
        <f>+'Water Balance'!E12</f>
        <v>#DIV/0!</v>
      </c>
      <c r="F22" s="301" t="e">
        <f>+'Water Balance'!F12</f>
        <v>#DIV/0!</v>
      </c>
      <c r="G22" s="301" t="e">
        <f>+'Water Balance'!G12</f>
        <v>#DIV/0!</v>
      </c>
      <c r="H22" s="301" t="e">
        <f>+'Water Balance'!H12</f>
        <v>#DIV/0!</v>
      </c>
      <c r="I22" s="301" t="e">
        <f>+'Water Balance'!I12</f>
        <v>#DIV/0!</v>
      </c>
      <c r="J22" s="301" t="e">
        <f>+'Water Balance'!J12</f>
        <v>#DIV/0!</v>
      </c>
      <c r="K22" s="301" t="e">
        <f>+'Water Balance'!K12</f>
        <v>#DIV/0!</v>
      </c>
      <c r="L22" s="301" t="e">
        <f>+'Water Balance'!L12</f>
        <v>#DIV/0!</v>
      </c>
      <c r="M22" s="301" t="e">
        <f>+'Water Balance'!M12</f>
        <v>#DIV/0!</v>
      </c>
      <c r="N22" s="301" t="e">
        <f>+'Water Balance'!N12</f>
        <v>#DIV/0!</v>
      </c>
      <c r="O22" s="301" t="e">
        <f>+'Water Balance'!O12</f>
        <v>#DIV/0!</v>
      </c>
      <c r="P22" s="301" t="e">
        <f>+'Water Balance'!P12</f>
        <v>#DIV/0!</v>
      </c>
      <c r="Q22" s="301" t="e">
        <f>+'Water Balance'!Q12</f>
        <v>#DIV/0!</v>
      </c>
      <c r="R22" s="301" t="e">
        <f>+'Water Balance'!R12</f>
        <v>#DIV/0!</v>
      </c>
      <c r="S22" s="301"/>
      <c r="T22" s="302"/>
    </row>
    <row r="23" spans="1:20" s="269" customFormat="1" ht="20" customHeight="1" x14ac:dyDescent="0.35">
      <c r="B23" s="270" t="s">
        <v>135</v>
      </c>
      <c r="C23" s="271" t="s">
        <v>175</v>
      </c>
      <c r="D23" s="272"/>
      <c r="E23" s="272" t="e">
        <f>+'Water Balance'!E21</f>
        <v>#DIV/0!</v>
      </c>
      <c r="F23" s="272" t="e">
        <f>+'Water Balance'!F21</f>
        <v>#DIV/0!</v>
      </c>
      <c r="G23" s="272" t="e">
        <f>+'Water Balance'!G21</f>
        <v>#DIV/0!</v>
      </c>
      <c r="H23" s="272" t="e">
        <f>+'Water Balance'!H21</f>
        <v>#DIV/0!</v>
      </c>
      <c r="I23" s="272" t="e">
        <f>+'Water Balance'!I21</f>
        <v>#DIV/0!</v>
      </c>
      <c r="J23" s="272" t="e">
        <f>+'Water Balance'!J21</f>
        <v>#DIV/0!</v>
      </c>
      <c r="K23" s="272" t="e">
        <f>+'Water Balance'!K21</f>
        <v>#DIV/0!</v>
      </c>
      <c r="L23" s="272" t="e">
        <f>+'Water Balance'!L21</f>
        <v>#DIV/0!</v>
      </c>
      <c r="M23" s="272" t="e">
        <f>+'Water Balance'!M21</f>
        <v>#DIV/0!</v>
      </c>
      <c r="N23" s="272" t="e">
        <f>+'Water Balance'!N21</f>
        <v>#DIV/0!</v>
      </c>
      <c r="O23" s="272" t="e">
        <f>+'Water Balance'!O21</f>
        <v>#DIV/0!</v>
      </c>
      <c r="P23" s="272" t="e">
        <f>+'Water Balance'!P21</f>
        <v>#DIV/0!</v>
      </c>
      <c r="Q23" s="272" t="e">
        <f>+'Water Balance'!Q21</f>
        <v>#DIV/0!</v>
      </c>
      <c r="R23" s="272" t="e">
        <f>+'Water Balance'!R21</f>
        <v>#DIV/0!</v>
      </c>
      <c r="S23" s="272"/>
      <c r="T23" s="293"/>
    </row>
    <row r="24" spans="1:20" s="269" customFormat="1" ht="20" customHeight="1" x14ac:dyDescent="0.35">
      <c r="B24" s="270" t="s">
        <v>136</v>
      </c>
      <c r="C24" s="271" t="s">
        <v>179</v>
      </c>
      <c r="D24" s="272"/>
      <c r="E24" s="272" t="e">
        <f>+'Water Balance'!E22</f>
        <v>#DIV/0!</v>
      </c>
      <c r="F24" s="272" t="e">
        <f>+'Water Balance'!F22</f>
        <v>#DIV/0!</v>
      </c>
      <c r="G24" s="272" t="e">
        <f>+'Water Balance'!G22</f>
        <v>#DIV/0!</v>
      </c>
      <c r="H24" s="272" t="e">
        <f>+'Water Balance'!H22</f>
        <v>#DIV/0!</v>
      </c>
      <c r="I24" s="272" t="e">
        <f>+'Water Balance'!I22</f>
        <v>#DIV/0!</v>
      </c>
      <c r="J24" s="272" t="e">
        <f>+'Water Balance'!J22</f>
        <v>#DIV/0!</v>
      </c>
      <c r="K24" s="272" t="e">
        <f>+'Water Balance'!K22</f>
        <v>#DIV/0!</v>
      </c>
      <c r="L24" s="272" t="e">
        <f>+'Water Balance'!L22</f>
        <v>#DIV/0!</v>
      </c>
      <c r="M24" s="272" t="e">
        <f>+'Water Balance'!M22</f>
        <v>#DIV/0!</v>
      </c>
      <c r="N24" s="272" t="e">
        <f>+'Water Balance'!N22</f>
        <v>#DIV/0!</v>
      </c>
      <c r="O24" s="272" t="e">
        <f>+'Water Balance'!O22</f>
        <v>#DIV/0!</v>
      </c>
      <c r="P24" s="272" t="e">
        <f>+'Water Balance'!P22</f>
        <v>#DIV/0!</v>
      </c>
      <c r="Q24" s="272" t="e">
        <f>+'Water Balance'!Q22</f>
        <v>#DIV/0!</v>
      </c>
      <c r="R24" s="272" t="e">
        <f>+'Water Balance'!R22</f>
        <v>#DIV/0!</v>
      </c>
      <c r="S24" s="272"/>
      <c r="T24" s="293"/>
    </row>
    <row r="25" spans="1:20" s="269" customFormat="1" ht="20" customHeight="1" x14ac:dyDescent="0.35">
      <c r="B25" s="270" t="s">
        <v>139</v>
      </c>
      <c r="C25" s="271" t="s">
        <v>176</v>
      </c>
      <c r="D25" s="272"/>
      <c r="E25" s="272" t="e">
        <f>+'Water Balance'!E24</f>
        <v>#DIV/0!</v>
      </c>
      <c r="F25" s="272" t="e">
        <f>+'Water Balance'!F24</f>
        <v>#DIV/0!</v>
      </c>
      <c r="G25" s="272" t="e">
        <f>+'Water Balance'!G24</f>
        <v>#DIV/0!</v>
      </c>
      <c r="H25" s="272" t="e">
        <f>+'Water Balance'!H24</f>
        <v>#DIV/0!</v>
      </c>
      <c r="I25" s="272" t="e">
        <f>+'Water Balance'!I24</f>
        <v>#DIV/0!</v>
      </c>
      <c r="J25" s="272" t="e">
        <f>+'Water Balance'!J24</f>
        <v>#DIV/0!</v>
      </c>
      <c r="K25" s="272" t="e">
        <f>+'Water Balance'!K24</f>
        <v>#DIV/0!</v>
      </c>
      <c r="L25" s="272" t="e">
        <f>+'Water Balance'!L24</f>
        <v>#DIV/0!</v>
      </c>
      <c r="M25" s="272" t="e">
        <f>+'Water Balance'!M24</f>
        <v>#DIV/0!</v>
      </c>
      <c r="N25" s="272" t="e">
        <f>+'Water Balance'!N24</f>
        <v>#DIV/0!</v>
      </c>
      <c r="O25" s="272" t="e">
        <f>+'Water Balance'!O24</f>
        <v>#DIV/0!</v>
      </c>
      <c r="P25" s="272" t="e">
        <f>+'Water Balance'!P24</f>
        <v>#DIV/0!</v>
      </c>
      <c r="Q25" s="272" t="e">
        <f>+'Water Balance'!Q24</f>
        <v>#DIV/0!</v>
      </c>
      <c r="R25" s="272" t="e">
        <f>+'Water Balance'!R24</f>
        <v>#DIV/0!</v>
      </c>
      <c r="S25" s="272"/>
      <c r="T25" s="293"/>
    </row>
    <row r="26" spans="1:20" s="269" customFormat="1" ht="20" customHeight="1" x14ac:dyDescent="0.35">
      <c r="B26" s="270" t="s">
        <v>140</v>
      </c>
      <c r="C26" s="271" t="s">
        <v>178</v>
      </c>
      <c r="D26" s="279"/>
      <c r="E26" s="303" t="e">
        <f>+'Water Balance'!E23</f>
        <v>#DIV/0!</v>
      </c>
      <c r="F26" s="303" t="e">
        <f>+'Water Balance'!F23</f>
        <v>#DIV/0!</v>
      </c>
      <c r="G26" s="303" t="e">
        <f>+'Water Balance'!G23</f>
        <v>#DIV/0!</v>
      </c>
      <c r="H26" s="303" t="e">
        <f>+'Water Balance'!H23</f>
        <v>#DIV/0!</v>
      </c>
      <c r="I26" s="303" t="e">
        <f>+'Water Balance'!I23</f>
        <v>#DIV/0!</v>
      </c>
      <c r="J26" s="303" t="e">
        <f>+'Water Balance'!J23</f>
        <v>#DIV/0!</v>
      </c>
      <c r="K26" s="303" t="e">
        <f>+'Water Balance'!K23</f>
        <v>#DIV/0!</v>
      </c>
      <c r="L26" s="303" t="e">
        <f>+'Water Balance'!L23</f>
        <v>#DIV/0!</v>
      </c>
      <c r="M26" s="303" t="e">
        <f>+'Water Balance'!M23</f>
        <v>#DIV/0!</v>
      </c>
      <c r="N26" s="303" t="e">
        <f>+'Water Balance'!N23</f>
        <v>#DIV/0!</v>
      </c>
      <c r="O26" s="303" t="e">
        <f>+'Water Balance'!O23</f>
        <v>#DIV/0!</v>
      </c>
      <c r="P26" s="303" t="e">
        <f>+'Water Balance'!P23</f>
        <v>#DIV/0!</v>
      </c>
      <c r="Q26" s="303" t="e">
        <f>+'Water Balance'!Q23</f>
        <v>#DIV/0!</v>
      </c>
      <c r="R26" s="303" t="e">
        <f>+'Water Balance'!R23</f>
        <v>#DIV/0!</v>
      </c>
      <c r="S26" s="279"/>
      <c r="T26" s="304"/>
    </row>
    <row r="27" spans="1:20" s="269" customFormat="1" ht="20" customHeight="1" x14ac:dyDescent="0.35">
      <c r="B27" s="270" t="s">
        <v>7</v>
      </c>
      <c r="C27" s="271" t="s">
        <v>177</v>
      </c>
      <c r="D27" s="277"/>
      <c r="E27" s="277" t="e">
        <f>+'Water Balance'!E25</f>
        <v>#DIV/0!</v>
      </c>
      <c r="F27" s="277" t="e">
        <f>+'Water Balance'!F25</f>
        <v>#DIV/0!</v>
      </c>
      <c r="G27" s="277" t="e">
        <f>+'Water Balance'!G25</f>
        <v>#DIV/0!</v>
      </c>
      <c r="H27" s="277" t="e">
        <f>+'Water Balance'!H25</f>
        <v>#DIV/0!</v>
      </c>
      <c r="I27" s="277" t="e">
        <f>+'Water Balance'!I25</f>
        <v>#DIV/0!</v>
      </c>
      <c r="J27" s="277" t="e">
        <f>+'Water Balance'!J25</f>
        <v>#DIV/0!</v>
      </c>
      <c r="K27" s="277" t="e">
        <f>+'Water Balance'!K25</f>
        <v>#DIV/0!</v>
      </c>
      <c r="L27" s="277" t="e">
        <f>+'Water Balance'!L25</f>
        <v>#DIV/0!</v>
      </c>
      <c r="M27" s="277" t="e">
        <f>+'Water Balance'!M25</f>
        <v>#DIV/0!</v>
      </c>
      <c r="N27" s="277" t="e">
        <f>+'Water Balance'!N25</f>
        <v>#DIV/0!</v>
      </c>
      <c r="O27" s="277" t="e">
        <f>+'Water Balance'!O25</f>
        <v>#DIV/0!</v>
      </c>
      <c r="P27" s="277" t="e">
        <f>+'Water Balance'!P25</f>
        <v>#DIV/0!</v>
      </c>
      <c r="Q27" s="277" t="e">
        <f>+'Water Balance'!Q25</f>
        <v>#DIV/0!</v>
      </c>
      <c r="R27" s="277" t="e">
        <f>+'Water Balance'!R25</f>
        <v>#DIV/0!</v>
      </c>
      <c r="S27" s="277"/>
      <c r="T27" s="304"/>
    </row>
    <row r="28" spans="1:20" s="269" customFormat="1" ht="20" customHeight="1" x14ac:dyDescent="0.35">
      <c r="B28" s="288" t="s">
        <v>219</v>
      </c>
      <c r="C28" s="271" t="s">
        <v>236</v>
      </c>
      <c r="D28" s="305"/>
      <c r="E28" s="305" t="e">
        <f>+'Water Balance'!E27</f>
        <v>#DIV/0!</v>
      </c>
      <c r="F28" s="305" t="e">
        <f>+'Water Balance'!F27</f>
        <v>#DIV/0!</v>
      </c>
      <c r="G28" s="305" t="e">
        <f>+'Water Balance'!G27</f>
        <v>#DIV/0!</v>
      </c>
      <c r="H28" s="305" t="e">
        <f>+'Water Balance'!H27</f>
        <v>#DIV/0!</v>
      </c>
      <c r="I28" s="305" t="e">
        <f>+'Water Balance'!I27</f>
        <v>#DIV/0!</v>
      </c>
      <c r="J28" s="305" t="e">
        <f>+'Water Balance'!J27</f>
        <v>#DIV/0!</v>
      </c>
      <c r="K28" s="305" t="e">
        <f>+'Water Balance'!K27</f>
        <v>#DIV/0!</v>
      </c>
      <c r="L28" s="305" t="e">
        <f>+'Water Balance'!L27</f>
        <v>#DIV/0!</v>
      </c>
      <c r="M28" s="305" t="e">
        <f>+'Water Balance'!M27</f>
        <v>#DIV/0!</v>
      </c>
      <c r="N28" s="305" t="e">
        <f>+'Water Balance'!N27</f>
        <v>#DIV/0!</v>
      </c>
      <c r="O28" s="305" t="e">
        <f>+'Water Balance'!O27</f>
        <v>#DIV/0!</v>
      </c>
      <c r="P28" s="305" t="e">
        <f>+'Water Balance'!P27</f>
        <v>#DIV/0!</v>
      </c>
      <c r="Q28" s="305" t="e">
        <f>+'Water Balance'!Q27</f>
        <v>#DIV/0!</v>
      </c>
      <c r="R28" s="305" t="e">
        <f>+'Water Balance'!R27</f>
        <v>#DIV/0!</v>
      </c>
      <c r="S28" s="305"/>
      <c r="T28" s="273"/>
    </row>
    <row r="29" spans="1:20" ht="15" thickBot="1" x14ac:dyDescent="0.4">
      <c r="A29" s="255"/>
      <c r="B29" s="265"/>
      <c r="C29" s="266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8"/>
    </row>
    <row r="30" spans="1:20" x14ac:dyDescent="0.35">
      <c r="B30" s="139"/>
      <c r="C30" s="4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</row>
    <row r="31" spans="1:20" x14ac:dyDescent="0.35">
      <c r="B31" s="139"/>
      <c r="C31" s="4"/>
      <c r="D31" s="4"/>
      <c r="E31" s="4"/>
      <c r="F31" s="4"/>
      <c r="G31" s="4"/>
      <c r="H31" s="4"/>
      <c r="I31" s="4"/>
      <c r="J31" s="4"/>
      <c r="K31" s="4"/>
      <c r="L31" s="4"/>
      <c r="M31" s="141"/>
      <c r="N31" s="141"/>
      <c r="O31" s="141"/>
      <c r="P31" s="141"/>
      <c r="Q31" s="141"/>
      <c r="R31" s="141"/>
      <c r="S31" s="4"/>
    </row>
    <row r="32" spans="1:20" ht="18.5" x14ac:dyDescent="0.45">
      <c r="B32" s="252" t="s">
        <v>141</v>
      </c>
      <c r="C32" s="249"/>
      <c r="D32" s="250"/>
      <c r="E32" s="250"/>
      <c r="F32" s="250"/>
      <c r="G32" s="250"/>
      <c r="H32" s="250"/>
      <c r="I32" s="250"/>
      <c r="J32" s="250"/>
      <c r="K32" s="250"/>
      <c r="L32" s="250"/>
      <c r="M32" s="251"/>
      <c r="N32" s="251"/>
      <c r="O32" s="251"/>
      <c r="P32" s="251"/>
      <c r="Q32" s="251"/>
      <c r="R32" s="251"/>
      <c r="S32" s="251"/>
    </row>
  </sheetData>
  <mergeCells count="3">
    <mergeCell ref="M1:N1"/>
    <mergeCell ref="Q1:R1"/>
    <mergeCell ref="E2:I2"/>
  </mergeCells>
  <phoneticPr fontId="26" type="noConversion"/>
  <pageMargins left="0.7" right="0.7" top="0.75" bottom="0.75" header="0.3" footer="0.3"/>
  <pageSetup scale="72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W1"/>
  <sheetViews>
    <sheetView zoomScale="80" zoomScaleNormal="80" zoomScalePageLayoutView="130" workbookViewId="0">
      <selection activeCell="K26" sqref="K26"/>
    </sheetView>
  </sheetViews>
  <sheetFormatPr defaultColWidth="8.81640625" defaultRowHeight="14.5" x14ac:dyDescent="0.35"/>
  <cols>
    <col min="1" max="1" width="3.453125" customWidth="1"/>
    <col min="2" max="2" width="43.6328125" customWidth="1"/>
    <col min="3" max="3" width="41.1796875" customWidth="1"/>
    <col min="4" max="4" width="45.36328125" customWidth="1"/>
    <col min="5" max="6" width="13.453125" customWidth="1"/>
    <col min="7" max="8" width="13" customWidth="1"/>
    <col min="9" max="11" width="13.36328125" customWidth="1"/>
    <col min="12" max="12" width="11.36328125" customWidth="1"/>
  </cols>
  <sheetData>
    <row r="1" spans="1:23" ht="19.5" customHeight="1" x14ac:dyDescent="0.35">
      <c r="A1" s="131"/>
      <c r="B1" s="131" t="s">
        <v>130</v>
      </c>
      <c r="C1" s="132"/>
      <c r="D1" s="132"/>
      <c r="E1" s="401"/>
      <c r="F1" s="401"/>
      <c r="G1" s="133"/>
      <c r="H1" s="133"/>
      <c r="I1" s="402"/>
      <c r="J1" s="402"/>
      <c r="K1" s="241"/>
      <c r="L1" s="242"/>
      <c r="M1" s="243"/>
      <c r="N1" s="243"/>
      <c r="O1" s="243"/>
      <c r="P1" s="243"/>
      <c r="Q1" s="243"/>
      <c r="R1" s="243"/>
      <c r="S1" s="243"/>
      <c r="T1" s="243"/>
      <c r="U1" s="244"/>
      <c r="V1" s="244"/>
      <c r="W1" s="244"/>
    </row>
  </sheetData>
  <mergeCells count="2">
    <mergeCell ref="E1:F1"/>
    <mergeCell ref="I1:J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U65"/>
  <sheetViews>
    <sheetView zoomScale="80" zoomScaleNormal="80" zoomScalePageLayoutView="120" workbookViewId="0">
      <pane xSplit="3" ySplit="3" topLeftCell="D31" activePane="bottomRight" state="frozen"/>
      <selection pane="topRight" activeCell="B1" sqref="B1"/>
      <selection pane="bottomLeft" activeCell="A4" sqref="A4"/>
      <selection pane="bottomRight" activeCell="N22" sqref="N22"/>
    </sheetView>
  </sheetViews>
  <sheetFormatPr defaultColWidth="8.81640625" defaultRowHeight="14.5" x14ac:dyDescent="0.35"/>
  <cols>
    <col min="2" max="2" width="40" customWidth="1"/>
    <col min="3" max="3" width="47.453125" hidden="1" customWidth="1"/>
    <col min="4" max="12" width="11.453125" customWidth="1"/>
    <col min="13" max="13" width="12.36328125" customWidth="1"/>
    <col min="14" max="14" width="11.6328125" customWidth="1"/>
    <col min="15" max="15" width="12" customWidth="1"/>
    <col min="16" max="16" width="11" customWidth="1"/>
    <col min="17" max="17" width="11.453125" customWidth="1"/>
    <col min="18" max="18" width="12" bestFit="1" customWidth="1"/>
    <col min="19" max="20" width="11.81640625" customWidth="1"/>
    <col min="21" max="21" width="73.453125" bestFit="1" customWidth="1"/>
  </cols>
  <sheetData>
    <row r="1" spans="2:21" ht="18.5" x14ac:dyDescent="0.45">
      <c r="B1" s="233" t="s">
        <v>183</v>
      </c>
      <c r="C1" s="233" t="s">
        <v>72</v>
      </c>
      <c r="D1" s="233"/>
      <c r="E1" s="233"/>
      <c r="F1" s="233"/>
      <c r="G1" s="233"/>
      <c r="H1" s="233"/>
      <c r="I1" s="233"/>
      <c r="J1" s="233"/>
      <c r="K1" s="233"/>
      <c r="L1" s="233"/>
      <c r="M1" s="253"/>
      <c r="N1" s="253"/>
      <c r="O1" s="253"/>
      <c r="P1" s="253"/>
      <c r="Q1" s="253"/>
      <c r="R1" s="253"/>
      <c r="S1" s="253"/>
      <c r="T1" s="253"/>
      <c r="U1" s="253"/>
    </row>
    <row r="2" spans="2:21" s="3" customFormat="1" x14ac:dyDescent="0.35">
      <c r="E2" s="400"/>
      <c r="F2" s="400"/>
      <c r="G2" s="400"/>
      <c r="H2" s="400"/>
      <c r="I2" s="400"/>
    </row>
    <row r="3" spans="2:21" ht="15.5" x14ac:dyDescent="0.35">
      <c r="B3" s="120" t="s">
        <v>160</v>
      </c>
      <c r="C3" s="120" t="s">
        <v>73</v>
      </c>
      <c r="D3" s="128">
        <f>+Summary!D3</f>
        <v>2000</v>
      </c>
      <c r="E3" s="128">
        <f>+Summary!E3</f>
        <v>2001</v>
      </c>
      <c r="F3" s="128">
        <f>+Summary!F3</f>
        <v>2002</v>
      </c>
      <c r="G3" s="128">
        <f>+Summary!G3</f>
        <v>2003</v>
      </c>
      <c r="H3" s="128">
        <f>+Summary!H3</f>
        <v>2004</v>
      </c>
      <c r="I3" s="128">
        <f>+Summary!I3</f>
        <v>2005</v>
      </c>
      <c r="J3" s="128">
        <f>+Summary!J3</f>
        <v>2006</v>
      </c>
      <c r="K3" s="128">
        <f>+Summary!K3</f>
        <v>2007</v>
      </c>
      <c r="L3" s="128">
        <f>+Summary!L3</f>
        <v>2008</v>
      </c>
      <c r="M3" s="128">
        <f>+Summary!M3</f>
        <v>2009</v>
      </c>
      <c r="N3" s="128">
        <f>+Summary!N3</f>
        <v>2010</v>
      </c>
      <c r="O3" s="128">
        <f>+Summary!O3</f>
        <v>2011</v>
      </c>
      <c r="P3" s="128">
        <f>+Summary!P3</f>
        <v>2012</v>
      </c>
      <c r="Q3" s="128">
        <f>+Summary!Q3</f>
        <v>2013</v>
      </c>
      <c r="R3" s="128">
        <f>+Summary!R3</f>
        <v>2014</v>
      </c>
      <c r="S3" s="128">
        <f>+Summary!S3</f>
        <v>2015</v>
      </c>
      <c r="T3" s="174" t="s">
        <v>237</v>
      </c>
      <c r="U3" s="26" t="s">
        <v>13</v>
      </c>
    </row>
    <row r="4" spans="2:21" ht="15.5" x14ac:dyDescent="0.35">
      <c r="B4" s="36" t="s">
        <v>180</v>
      </c>
      <c r="C4" s="37" t="s">
        <v>117</v>
      </c>
      <c r="D4" s="37"/>
      <c r="E4" s="198"/>
      <c r="F4" s="198"/>
      <c r="G4" s="198"/>
      <c r="H4" s="198"/>
      <c r="I4" s="198"/>
      <c r="J4" s="188"/>
      <c r="K4" s="188"/>
      <c r="L4" s="188"/>
      <c r="M4" s="188"/>
      <c r="N4" s="188"/>
      <c r="O4" s="188"/>
      <c r="P4" s="188"/>
      <c r="Q4" s="188"/>
      <c r="R4" s="188"/>
      <c r="S4" s="71"/>
      <c r="T4" s="217"/>
      <c r="U4" s="1"/>
    </row>
    <row r="5" spans="2:21" ht="15.5" x14ac:dyDescent="0.35">
      <c r="B5" s="37" t="s">
        <v>181</v>
      </c>
      <c r="C5" s="37" t="s">
        <v>118</v>
      </c>
      <c r="D5" s="37"/>
      <c r="E5" s="71"/>
      <c r="F5" s="71"/>
      <c r="G5" s="71"/>
      <c r="H5" s="71"/>
      <c r="I5" s="71"/>
      <c r="J5" s="71"/>
      <c r="K5" s="71"/>
      <c r="L5" s="71"/>
      <c r="M5" s="202"/>
      <c r="N5" s="202"/>
      <c r="O5" s="202"/>
      <c r="P5" s="202"/>
      <c r="Q5" s="202"/>
      <c r="R5" s="71"/>
      <c r="S5" s="71"/>
      <c r="T5" s="71"/>
      <c r="U5" s="36"/>
    </row>
    <row r="6" spans="2:21" ht="15.5" x14ac:dyDescent="0.35">
      <c r="B6" s="37" t="s">
        <v>182</v>
      </c>
      <c r="C6" s="37" t="s">
        <v>74</v>
      </c>
      <c r="D6" s="37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37"/>
    </row>
    <row r="7" spans="2:21" ht="15.5" x14ac:dyDescent="0.35">
      <c r="B7" s="130"/>
      <c r="C7" s="134"/>
      <c r="D7" s="37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36"/>
    </row>
    <row r="8" spans="2:21" ht="15.5" x14ac:dyDescent="0.35">
      <c r="B8" s="36" t="s">
        <v>212</v>
      </c>
      <c r="C8" s="37" t="s">
        <v>125</v>
      </c>
      <c r="D8" s="37"/>
      <c r="E8" s="71"/>
      <c r="F8" s="71"/>
      <c r="G8" s="71"/>
      <c r="H8" s="197"/>
      <c r="I8" s="197"/>
      <c r="J8" s="197"/>
      <c r="K8" s="197"/>
      <c r="L8" s="71"/>
      <c r="M8" s="203"/>
      <c r="N8" s="203"/>
      <c r="O8" s="203"/>
      <c r="P8" s="203"/>
      <c r="Q8" s="204"/>
      <c r="R8" s="203"/>
      <c r="S8" s="71"/>
      <c r="T8" s="71"/>
      <c r="U8" s="36"/>
    </row>
    <row r="9" spans="2:21" ht="15.5" x14ac:dyDescent="0.35">
      <c r="B9" s="36" t="s">
        <v>211</v>
      </c>
      <c r="C9" s="37" t="s">
        <v>167</v>
      </c>
      <c r="D9" s="37"/>
      <c r="E9" s="71"/>
      <c r="F9" s="189"/>
      <c r="G9" s="71"/>
      <c r="H9" s="197"/>
      <c r="I9" s="197"/>
      <c r="J9" s="197"/>
      <c r="K9" s="197"/>
      <c r="L9" s="71"/>
      <c r="M9" s="189"/>
      <c r="N9" s="203"/>
      <c r="O9" s="203"/>
      <c r="P9" s="203"/>
      <c r="Q9" s="204"/>
      <c r="R9" s="203"/>
      <c r="S9" s="71"/>
      <c r="T9" s="71"/>
      <c r="U9" s="36"/>
    </row>
    <row r="10" spans="2:21" ht="15.5" x14ac:dyDescent="0.35">
      <c r="B10" s="36" t="s">
        <v>213</v>
      </c>
      <c r="C10" s="37" t="s">
        <v>124</v>
      </c>
      <c r="D10" s="37"/>
      <c r="E10" s="71"/>
      <c r="F10" s="71"/>
      <c r="G10" s="71"/>
      <c r="H10" s="71"/>
      <c r="I10" s="71"/>
      <c r="J10" s="71"/>
      <c r="K10" s="71"/>
      <c r="L10" s="71"/>
      <c r="M10" s="203"/>
      <c r="N10" s="203"/>
      <c r="O10" s="203"/>
      <c r="P10" s="203"/>
      <c r="Q10" s="203"/>
      <c r="R10" s="203"/>
      <c r="S10" s="71"/>
      <c r="T10" s="71"/>
      <c r="U10" s="37"/>
    </row>
    <row r="11" spans="2:21" ht="15.5" x14ac:dyDescent="0.35">
      <c r="B11" s="36" t="s">
        <v>214</v>
      </c>
      <c r="C11" s="37" t="s">
        <v>123</v>
      </c>
      <c r="D11" s="37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37"/>
    </row>
    <row r="12" spans="2:21" ht="15.5" x14ac:dyDescent="0.35">
      <c r="B12" s="36" t="s">
        <v>215</v>
      </c>
      <c r="C12" s="37" t="s">
        <v>122</v>
      </c>
      <c r="D12" s="37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37"/>
    </row>
    <row r="13" spans="2:21" ht="15.5" x14ac:dyDescent="0.35">
      <c r="B13" s="36"/>
      <c r="C13" s="37"/>
      <c r="D13" s="37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36"/>
    </row>
    <row r="14" spans="2:21" ht="15.5" x14ac:dyDescent="0.35">
      <c r="B14" s="36" t="s">
        <v>184</v>
      </c>
      <c r="C14" s="37" t="s">
        <v>59</v>
      </c>
      <c r="D14" s="37"/>
      <c r="E14" s="71"/>
      <c r="F14" s="71"/>
      <c r="G14" s="71"/>
      <c r="H14" s="71"/>
      <c r="I14" s="71"/>
      <c r="J14" s="188"/>
      <c r="K14" s="188"/>
      <c r="L14" s="188"/>
      <c r="M14" s="188"/>
      <c r="N14" s="188"/>
      <c r="O14" s="188"/>
      <c r="P14" s="188"/>
      <c r="Q14" s="188"/>
      <c r="R14" s="199"/>
      <c r="S14" s="71"/>
      <c r="T14" s="217"/>
      <c r="U14" s="177"/>
    </row>
    <row r="15" spans="2:21" ht="15.5" x14ac:dyDescent="0.35">
      <c r="B15" s="36" t="s">
        <v>185</v>
      </c>
      <c r="C15" s="37" t="s">
        <v>60</v>
      </c>
      <c r="D15" s="37"/>
      <c r="E15" s="71"/>
      <c r="F15" s="71"/>
      <c r="G15" s="71"/>
      <c r="H15" s="71"/>
      <c r="I15" s="71"/>
      <c r="J15" s="71"/>
      <c r="K15" s="71"/>
      <c r="L15" s="71"/>
      <c r="M15" s="205"/>
      <c r="N15" s="205"/>
      <c r="O15" s="205"/>
      <c r="P15" s="205"/>
      <c r="Q15" s="205"/>
      <c r="R15" s="205"/>
      <c r="S15" s="71"/>
      <c r="T15" s="71"/>
      <c r="U15" s="36"/>
    </row>
    <row r="16" spans="2:21" ht="15.5" x14ac:dyDescent="0.35">
      <c r="B16" s="36"/>
      <c r="C16" s="37"/>
      <c r="D16" s="37"/>
      <c r="E16" s="71"/>
      <c r="F16" s="71"/>
      <c r="G16" s="71"/>
      <c r="H16" s="71"/>
      <c r="I16" s="71"/>
      <c r="J16" s="71"/>
      <c r="K16" s="71"/>
      <c r="L16" s="71"/>
      <c r="M16" s="199"/>
      <c r="N16" s="71"/>
      <c r="O16" s="71"/>
      <c r="P16" s="71"/>
      <c r="Q16" s="71"/>
      <c r="R16" s="188"/>
      <c r="S16" s="188"/>
      <c r="T16" s="188"/>
      <c r="U16" s="37"/>
    </row>
    <row r="17" spans="2:21" ht="15.5" x14ac:dyDescent="0.35">
      <c r="B17" s="36" t="s">
        <v>186</v>
      </c>
      <c r="C17" s="36" t="s">
        <v>119</v>
      </c>
      <c r="D17" s="83"/>
      <c r="E17" s="201" t="e">
        <f t="shared" ref="E17:J17" si="0">+E14/E4</f>
        <v>#DIV/0!</v>
      </c>
      <c r="F17" s="201" t="e">
        <f t="shared" si="0"/>
        <v>#DIV/0!</v>
      </c>
      <c r="G17" s="201" t="e">
        <f t="shared" si="0"/>
        <v>#DIV/0!</v>
      </c>
      <c r="H17" s="201" t="e">
        <f t="shared" si="0"/>
        <v>#DIV/0!</v>
      </c>
      <c r="I17" s="201" t="e">
        <f t="shared" si="0"/>
        <v>#DIV/0!</v>
      </c>
      <c r="J17" s="201" t="e">
        <f t="shared" si="0"/>
        <v>#DIV/0!</v>
      </c>
      <c r="K17" s="201" t="e">
        <f t="shared" ref="K17:R17" si="1">+K14/K4</f>
        <v>#DIV/0!</v>
      </c>
      <c r="L17" s="201" t="e">
        <f t="shared" si="1"/>
        <v>#DIV/0!</v>
      </c>
      <c r="M17" s="201" t="e">
        <f t="shared" si="1"/>
        <v>#DIV/0!</v>
      </c>
      <c r="N17" s="201" t="e">
        <f t="shared" si="1"/>
        <v>#DIV/0!</v>
      </c>
      <c r="O17" s="201" t="e">
        <f t="shared" si="1"/>
        <v>#DIV/0!</v>
      </c>
      <c r="P17" s="201" t="e">
        <f t="shared" si="1"/>
        <v>#DIV/0!</v>
      </c>
      <c r="Q17" s="201" t="e">
        <f t="shared" si="1"/>
        <v>#DIV/0!</v>
      </c>
      <c r="R17" s="201" t="e">
        <f t="shared" si="1"/>
        <v>#DIV/0!</v>
      </c>
      <c r="S17" s="201"/>
      <c r="T17" s="245"/>
      <c r="U17" s="36"/>
    </row>
    <row r="18" spans="2:21" s="3" customFormat="1" ht="15.5" x14ac:dyDescent="0.35">
      <c r="B18" s="37"/>
      <c r="C18" s="37"/>
      <c r="D18" s="37"/>
      <c r="E18" s="71"/>
      <c r="F18" s="71"/>
      <c r="G18" s="71"/>
      <c r="H18" s="71"/>
      <c r="I18" s="71"/>
      <c r="J18" s="71"/>
      <c r="K18" s="71"/>
      <c r="L18" s="71"/>
      <c r="M18" s="198"/>
      <c r="N18" s="198"/>
      <c r="O18" s="198"/>
      <c r="P18" s="198"/>
      <c r="Q18" s="198"/>
      <c r="R18" s="198"/>
      <c r="S18" s="198"/>
      <c r="T18" s="198"/>
      <c r="U18" s="37"/>
    </row>
    <row r="19" spans="2:21" ht="15.5" x14ac:dyDescent="0.35">
      <c r="B19" s="36" t="s">
        <v>187</v>
      </c>
      <c r="C19" s="129" t="s">
        <v>232</v>
      </c>
      <c r="D19" s="129"/>
      <c r="E19" s="123"/>
      <c r="F19" s="123"/>
      <c r="G19" s="123"/>
      <c r="H19" s="123"/>
      <c r="I19" s="123"/>
      <c r="J19" s="123"/>
      <c r="K19" s="123"/>
      <c r="L19" s="123"/>
      <c r="M19" s="200"/>
      <c r="N19" s="200"/>
      <c r="O19" s="199"/>
      <c r="P19" s="199"/>
      <c r="Q19" s="199"/>
      <c r="R19" s="199"/>
      <c r="S19" s="14"/>
      <c r="T19" s="217"/>
      <c r="U19" s="36"/>
    </row>
    <row r="20" spans="2:21" ht="15.5" x14ac:dyDescent="0.35">
      <c r="B20" s="36" t="s">
        <v>191</v>
      </c>
      <c r="C20" s="37" t="s">
        <v>120</v>
      </c>
      <c r="D20" s="37"/>
      <c r="E20" s="71"/>
      <c r="F20" s="71"/>
      <c r="G20" s="71"/>
      <c r="H20" s="71"/>
      <c r="I20" s="71"/>
      <c r="J20" s="71"/>
      <c r="K20" s="71"/>
      <c r="L20" s="71"/>
      <c r="M20" s="199"/>
      <c r="N20" s="199"/>
      <c r="O20" s="199"/>
      <c r="P20" s="199"/>
      <c r="Q20" s="199"/>
      <c r="R20" s="203"/>
      <c r="S20" s="14"/>
      <c r="T20" s="14"/>
      <c r="U20" s="36"/>
    </row>
    <row r="21" spans="2:21" ht="15.5" x14ac:dyDescent="0.35">
      <c r="B21" s="36" t="s">
        <v>188</v>
      </c>
      <c r="C21" s="37" t="s">
        <v>121</v>
      </c>
      <c r="D21" s="37"/>
      <c r="E21" s="71"/>
      <c r="F21" s="71"/>
      <c r="G21" s="71"/>
      <c r="H21" s="71"/>
      <c r="I21" s="71"/>
      <c r="J21" s="71"/>
      <c r="K21" s="71"/>
      <c r="L21" s="189"/>
      <c r="M21" s="189"/>
      <c r="N21" s="229"/>
      <c r="O21" s="230"/>
      <c r="P21" s="230"/>
      <c r="Q21" s="230"/>
      <c r="R21" s="230"/>
      <c r="S21" s="206"/>
      <c r="T21" s="206"/>
      <c r="U21" s="161"/>
    </row>
    <row r="22" spans="2:21" ht="15.5" x14ac:dyDescent="0.35">
      <c r="B22" s="36" t="s">
        <v>189</v>
      </c>
      <c r="C22" s="36" t="s">
        <v>61</v>
      </c>
      <c r="D22" s="36"/>
      <c r="E22" s="14"/>
      <c r="F22" s="14"/>
      <c r="G22" s="14"/>
      <c r="H22" s="14"/>
      <c r="I22" s="14"/>
      <c r="J22" s="14"/>
      <c r="K22" s="14"/>
      <c r="L22" s="14"/>
      <c r="M22" s="202"/>
      <c r="N22" s="202"/>
      <c r="O22" s="202"/>
      <c r="P22" s="202"/>
      <c r="Q22" s="202"/>
      <c r="R22" s="202"/>
      <c r="S22" s="71"/>
      <c r="T22" s="71"/>
      <c r="U22" s="36"/>
    </row>
    <row r="23" spans="2:21" ht="15.5" x14ac:dyDescent="0.35">
      <c r="B23" s="36" t="s">
        <v>190</v>
      </c>
      <c r="C23" s="36" t="s">
        <v>62</v>
      </c>
      <c r="D23" s="36"/>
      <c r="E23" s="14"/>
      <c r="F23" s="14"/>
      <c r="G23" s="14"/>
      <c r="H23" s="14"/>
      <c r="I23" s="14"/>
      <c r="J23" s="14"/>
      <c r="K23" s="14"/>
      <c r="L23" s="14"/>
      <c r="M23" s="71"/>
      <c r="N23" s="71"/>
      <c r="O23" s="71"/>
      <c r="P23" s="71"/>
      <c r="Q23" s="71"/>
      <c r="R23" s="71"/>
      <c r="S23" s="71"/>
      <c r="T23" s="71"/>
      <c r="U23" s="36"/>
    </row>
    <row r="24" spans="2:21" ht="15.5" x14ac:dyDescent="0.35">
      <c r="B24" s="36"/>
      <c r="C24" s="36"/>
      <c r="D24" s="36"/>
      <c r="E24" s="14"/>
      <c r="F24" s="14"/>
      <c r="G24" s="14"/>
      <c r="H24" s="14"/>
      <c r="I24" s="14"/>
      <c r="J24" s="14"/>
      <c r="K24" s="14"/>
      <c r="L24" s="14"/>
      <c r="M24" s="71"/>
      <c r="N24" s="71"/>
      <c r="O24" s="71"/>
      <c r="P24" s="71"/>
      <c r="Q24" s="71"/>
      <c r="R24" s="71"/>
      <c r="S24" s="71"/>
      <c r="T24" s="71"/>
      <c r="U24" s="36"/>
    </row>
    <row r="25" spans="2:21" ht="15.5" x14ac:dyDescent="0.35">
      <c r="B25" s="36" t="s">
        <v>5</v>
      </c>
      <c r="C25" s="36" t="s">
        <v>63</v>
      </c>
      <c r="D25" s="36"/>
      <c r="E25" s="14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207"/>
      <c r="R25" s="71"/>
      <c r="S25" s="71"/>
      <c r="T25" s="71"/>
      <c r="U25" s="36"/>
    </row>
    <row r="26" spans="2:21" ht="15.5" x14ac:dyDescent="0.35">
      <c r="B26" s="36"/>
      <c r="C26" s="36"/>
      <c r="D26" s="36"/>
      <c r="E26" s="14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36"/>
    </row>
    <row r="27" spans="2:21" ht="15.5" x14ac:dyDescent="0.35">
      <c r="B27" s="36" t="s">
        <v>192</v>
      </c>
      <c r="C27" s="37" t="s">
        <v>64</v>
      </c>
      <c r="D27" s="37"/>
      <c r="E27" s="71"/>
      <c r="F27" s="208"/>
      <c r="G27" s="208"/>
      <c r="H27" s="208"/>
      <c r="I27" s="208"/>
      <c r="J27" s="208"/>
      <c r="K27" s="189"/>
      <c r="L27" s="189"/>
      <c r="M27" s="189"/>
      <c r="N27" s="189"/>
      <c r="O27" s="229"/>
      <c r="P27" s="197"/>
      <c r="Q27" s="197"/>
      <c r="R27" s="197"/>
      <c r="S27" s="189"/>
      <c r="T27" s="189"/>
      <c r="U27" s="36"/>
    </row>
    <row r="28" spans="2:21" ht="15.5" x14ac:dyDescent="0.35">
      <c r="B28" s="36" t="s">
        <v>193</v>
      </c>
      <c r="C28" s="36" t="s">
        <v>65</v>
      </c>
      <c r="D28" s="36"/>
      <c r="E28" s="14"/>
      <c r="F28" s="14"/>
      <c r="G28" s="14"/>
      <c r="H28" s="14"/>
      <c r="I28" s="14"/>
      <c r="J28" s="14"/>
      <c r="K28" s="14"/>
      <c r="L28" s="14"/>
      <c r="M28" s="208"/>
      <c r="N28" s="208"/>
      <c r="O28" s="208"/>
      <c r="P28" s="208"/>
      <c r="Q28" s="208"/>
      <c r="R28" s="208"/>
      <c r="S28" s="71"/>
      <c r="T28" s="71"/>
      <c r="U28" s="36"/>
    </row>
    <row r="29" spans="2:21" ht="15.5" x14ac:dyDescent="0.35">
      <c r="B29" s="36" t="s">
        <v>194</v>
      </c>
      <c r="C29" s="36" t="s">
        <v>66</v>
      </c>
      <c r="D29" s="36"/>
      <c r="E29" s="14"/>
      <c r="F29" s="14"/>
      <c r="G29" s="14"/>
      <c r="H29" s="14"/>
      <c r="I29" s="14"/>
      <c r="J29" s="14"/>
      <c r="K29" s="14"/>
      <c r="L29" s="14"/>
      <c r="M29" s="189"/>
      <c r="N29" s="189"/>
      <c r="O29" s="189"/>
      <c r="P29" s="189"/>
      <c r="Q29" s="189"/>
      <c r="R29" s="189"/>
      <c r="S29" s="71"/>
      <c r="T29" s="71"/>
      <c r="U29" s="36"/>
    </row>
    <row r="30" spans="2:21" ht="15.5" x14ac:dyDescent="0.35">
      <c r="B30" s="36"/>
      <c r="C30" s="36"/>
      <c r="D30" s="36"/>
      <c r="E30" s="14"/>
      <c r="F30" s="14"/>
      <c r="G30" s="14"/>
      <c r="H30" s="14"/>
      <c r="I30" s="14"/>
      <c r="J30" s="14"/>
      <c r="K30" s="14"/>
      <c r="L30" s="14"/>
      <c r="M30" s="71"/>
      <c r="N30" s="71"/>
      <c r="O30" s="71"/>
      <c r="P30" s="71"/>
      <c r="Q30" s="71"/>
      <c r="R30" s="71"/>
      <c r="S30" s="71"/>
      <c r="T30" s="71"/>
      <c r="U30" s="36"/>
    </row>
    <row r="31" spans="2:21" ht="15.5" x14ac:dyDescent="0.35">
      <c r="B31" s="36" t="s">
        <v>199</v>
      </c>
      <c r="C31" s="37" t="s">
        <v>115</v>
      </c>
      <c r="D31" s="37"/>
      <c r="E31" s="71"/>
      <c r="F31" s="71"/>
      <c r="G31" s="71"/>
      <c r="H31" s="71"/>
      <c r="I31" s="71"/>
      <c r="J31" s="71"/>
      <c r="K31" s="71"/>
      <c r="L31" s="71"/>
      <c r="M31" s="209"/>
      <c r="N31" s="209"/>
      <c r="O31" s="209"/>
      <c r="P31" s="209"/>
      <c r="Q31" s="209"/>
      <c r="R31" s="209"/>
      <c r="S31" s="71"/>
      <c r="T31" s="71"/>
      <c r="U31" s="36"/>
    </row>
    <row r="32" spans="2:21" ht="15.5" x14ac:dyDescent="0.35">
      <c r="B32" s="36" t="s">
        <v>195</v>
      </c>
      <c r="C32" s="37" t="s">
        <v>116</v>
      </c>
      <c r="D32" s="37"/>
      <c r="E32" s="71"/>
      <c r="F32" s="71"/>
      <c r="G32" s="71"/>
      <c r="H32" s="71"/>
      <c r="I32" s="71"/>
      <c r="J32" s="71"/>
      <c r="K32" s="71"/>
      <c r="L32" s="71"/>
      <c r="M32" s="203"/>
      <c r="N32" s="203"/>
      <c r="O32" s="203"/>
      <c r="P32" s="203"/>
      <c r="Q32" s="203"/>
      <c r="R32" s="71"/>
      <c r="S32" s="71"/>
      <c r="T32" s="71"/>
      <c r="U32" s="37"/>
    </row>
    <row r="33" spans="2:21" ht="15.5" x14ac:dyDescent="0.35">
      <c r="B33" s="36" t="s">
        <v>196</v>
      </c>
      <c r="C33" s="37" t="s">
        <v>67</v>
      </c>
      <c r="D33" s="37"/>
      <c r="E33" s="199"/>
      <c r="F33" s="199"/>
      <c r="G33" s="199"/>
      <c r="H33" s="199"/>
      <c r="I33" s="199"/>
      <c r="J33" s="199"/>
      <c r="K33" s="199"/>
      <c r="L33" s="199"/>
      <c r="M33" s="200"/>
      <c r="N33" s="200"/>
      <c r="O33" s="199"/>
      <c r="P33" s="199"/>
      <c r="Q33" s="199"/>
      <c r="R33" s="199"/>
      <c r="S33" s="71"/>
      <c r="T33" s="228"/>
      <c r="U33" s="190"/>
    </row>
    <row r="34" spans="2:21" ht="15.5" x14ac:dyDescent="0.35">
      <c r="B34" s="36" t="s">
        <v>197</v>
      </c>
      <c r="C34" s="37" t="s">
        <v>68</v>
      </c>
      <c r="D34" s="37"/>
      <c r="E34" s="199"/>
      <c r="F34" s="199"/>
      <c r="G34" s="199"/>
      <c r="H34" s="199"/>
      <c r="I34" s="199"/>
      <c r="J34" s="199"/>
      <c r="K34" s="218"/>
      <c r="L34" s="199"/>
      <c r="M34" s="218"/>
      <c r="N34" s="218"/>
      <c r="O34" s="218"/>
      <c r="P34" s="218"/>
      <c r="Q34" s="218"/>
      <c r="R34" s="218"/>
      <c r="S34" s="189"/>
      <c r="T34" s="189"/>
      <c r="U34" s="178"/>
    </row>
    <row r="35" spans="2:21" ht="15.5" x14ac:dyDescent="0.35">
      <c r="B35" s="36" t="s">
        <v>198</v>
      </c>
      <c r="C35" s="37" t="s">
        <v>126</v>
      </c>
      <c r="D35" s="37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71"/>
      <c r="T35" s="71"/>
      <c r="U35" s="36"/>
    </row>
    <row r="36" spans="2:21" ht="15.5" x14ac:dyDescent="0.35">
      <c r="B36" s="36"/>
      <c r="C36" s="37"/>
      <c r="D36" s="37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71"/>
      <c r="T36" s="71"/>
      <c r="U36" s="36"/>
    </row>
    <row r="37" spans="2:21" ht="15.5" x14ac:dyDescent="0.35">
      <c r="B37" s="36" t="s">
        <v>200</v>
      </c>
      <c r="C37" s="36" t="s">
        <v>69</v>
      </c>
      <c r="D37" s="36"/>
      <c r="E37" s="219"/>
      <c r="F37" s="199"/>
      <c r="G37" s="199"/>
      <c r="H37" s="199"/>
      <c r="I37" s="199"/>
      <c r="J37" s="199"/>
      <c r="K37" s="199"/>
      <c r="L37" s="199"/>
      <c r="M37" s="200"/>
      <c r="N37" s="200"/>
      <c r="O37" s="199"/>
      <c r="P37" s="199"/>
      <c r="Q37" s="199"/>
      <c r="R37" s="199"/>
      <c r="S37" s="71"/>
      <c r="T37" s="217"/>
      <c r="U37" s="36"/>
    </row>
    <row r="38" spans="2:21" ht="15.5" x14ac:dyDescent="0.35">
      <c r="B38" s="36" t="s">
        <v>42</v>
      </c>
      <c r="C38" s="36" t="s">
        <v>114</v>
      </c>
      <c r="D38" s="175"/>
      <c r="E38" s="210">
        <f t="shared" ref="E38" si="2">+E33-E37</f>
        <v>0</v>
      </c>
      <c r="F38" s="210">
        <f t="shared" ref="F38:R38" si="3">+F33-F37</f>
        <v>0</v>
      </c>
      <c r="G38" s="210">
        <f t="shared" si="3"/>
        <v>0</v>
      </c>
      <c r="H38" s="210">
        <f t="shared" si="3"/>
        <v>0</v>
      </c>
      <c r="I38" s="210">
        <f t="shared" si="3"/>
        <v>0</v>
      </c>
      <c r="J38" s="210">
        <f t="shared" si="3"/>
        <v>0</v>
      </c>
      <c r="K38" s="210">
        <f t="shared" si="3"/>
        <v>0</v>
      </c>
      <c r="L38" s="210">
        <f t="shared" si="3"/>
        <v>0</v>
      </c>
      <c r="M38" s="210">
        <f t="shared" si="3"/>
        <v>0</v>
      </c>
      <c r="N38" s="210">
        <f t="shared" si="3"/>
        <v>0</v>
      </c>
      <c r="O38" s="210">
        <f t="shared" si="3"/>
        <v>0</v>
      </c>
      <c r="P38" s="210">
        <f t="shared" si="3"/>
        <v>0</v>
      </c>
      <c r="Q38" s="210">
        <f t="shared" si="3"/>
        <v>0</v>
      </c>
      <c r="R38" s="210">
        <f t="shared" si="3"/>
        <v>0</v>
      </c>
      <c r="S38" s="210"/>
      <c r="T38" s="217"/>
      <c r="U38" s="36"/>
    </row>
    <row r="39" spans="2:21" ht="15.5" x14ac:dyDescent="0.35">
      <c r="B39" s="36" t="s">
        <v>128</v>
      </c>
      <c r="C39" s="36" t="s">
        <v>71</v>
      </c>
      <c r="D39" s="86"/>
      <c r="E39" s="211" t="e">
        <f t="shared" ref="E39" si="4">+E38/E33</f>
        <v>#DIV/0!</v>
      </c>
      <c r="F39" s="211" t="e">
        <f t="shared" ref="F39:R39" si="5">+F38/F33</f>
        <v>#DIV/0!</v>
      </c>
      <c r="G39" s="211" t="e">
        <f t="shared" si="5"/>
        <v>#DIV/0!</v>
      </c>
      <c r="H39" s="211" t="e">
        <f t="shared" si="5"/>
        <v>#DIV/0!</v>
      </c>
      <c r="I39" s="211" t="e">
        <f t="shared" si="5"/>
        <v>#DIV/0!</v>
      </c>
      <c r="J39" s="211" t="e">
        <f t="shared" si="5"/>
        <v>#DIV/0!</v>
      </c>
      <c r="K39" s="211" t="e">
        <f t="shared" si="5"/>
        <v>#DIV/0!</v>
      </c>
      <c r="L39" s="211" t="e">
        <f t="shared" si="5"/>
        <v>#DIV/0!</v>
      </c>
      <c r="M39" s="211" t="e">
        <f t="shared" si="5"/>
        <v>#DIV/0!</v>
      </c>
      <c r="N39" s="211" t="e">
        <f t="shared" si="5"/>
        <v>#DIV/0!</v>
      </c>
      <c r="O39" s="211" t="e">
        <f t="shared" si="5"/>
        <v>#DIV/0!</v>
      </c>
      <c r="P39" s="211" t="e">
        <f t="shared" si="5"/>
        <v>#DIV/0!</v>
      </c>
      <c r="Q39" s="211" t="e">
        <f t="shared" si="5"/>
        <v>#DIV/0!</v>
      </c>
      <c r="R39" s="211" t="e">
        <f t="shared" si="5"/>
        <v>#DIV/0!</v>
      </c>
      <c r="S39" s="211"/>
      <c r="T39" s="197"/>
      <c r="U39" s="36"/>
    </row>
    <row r="40" spans="2:21" ht="15.5" x14ac:dyDescent="0.35">
      <c r="B40" s="36" t="s">
        <v>201</v>
      </c>
      <c r="C40" s="36" t="s">
        <v>70</v>
      </c>
      <c r="D40" s="175"/>
      <c r="E40" s="210" t="e">
        <f t="shared" ref="E40" si="6">+E38*1000000/(365*E14)</f>
        <v>#DIV/0!</v>
      </c>
      <c r="F40" s="210" t="e">
        <f t="shared" ref="F40:R40" si="7">+F38*1000000/(365*F14)</f>
        <v>#DIV/0!</v>
      </c>
      <c r="G40" s="210" t="e">
        <f t="shared" si="7"/>
        <v>#DIV/0!</v>
      </c>
      <c r="H40" s="210" t="e">
        <f t="shared" si="7"/>
        <v>#DIV/0!</v>
      </c>
      <c r="I40" s="210" t="e">
        <f t="shared" si="7"/>
        <v>#DIV/0!</v>
      </c>
      <c r="J40" s="210" t="e">
        <f t="shared" si="7"/>
        <v>#DIV/0!</v>
      </c>
      <c r="K40" s="210" t="e">
        <f t="shared" si="7"/>
        <v>#DIV/0!</v>
      </c>
      <c r="L40" s="210" t="e">
        <f t="shared" si="7"/>
        <v>#DIV/0!</v>
      </c>
      <c r="M40" s="210" t="e">
        <f t="shared" si="7"/>
        <v>#DIV/0!</v>
      </c>
      <c r="N40" s="210" t="e">
        <f t="shared" si="7"/>
        <v>#DIV/0!</v>
      </c>
      <c r="O40" s="210" t="e">
        <f t="shared" si="7"/>
        <v>#DIV/0!</v>
      </c>
      <c r="P40" s="210" t="e">
        <f t="shared" si="7"/>
        <v>#DIV/0!</v>
      </c>
      <c r="Q40" s="210" t="e">
        <f t="shared" si="7"/>
        <v>#DIV/0!</v>
      </c>
      <c r="R40" s="210" t="e">
        <f t="shared" si="7"/>
        <v>#DIV/0!</v>
      </c>
      <c r="S40" s="210"/>
      <c r="T40" s="217"/>
      <c r="U40" s="36"/>
    </row>
    <row r="41" spans="2:21" ht="15.5" x14ac:dyDescent="0.35">
      <c r="B41" s="36"/>
      <c r="C41" s="36"/>
      <c r="D41" s="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36"/>
    </row>
    <row r="42" spans="2:21" ht="15.5" x14ac:dyDescent="0.35">
      <c r="B42" s="36" t="s">
        <v>202</v>
      </c>
      <c r="C42" s="36" t="s">
        <v>171</v>
      </c>
      <c r="D42" s="142"/>
      <c r="E42" s="212" t="e">
        <f t="shared" ref="E42" si="8">++E37*1000/(12*E14)</f>
        <v>#DIV/0!</v>
      </c>
      <c r="F42" s="212" t="e">
        <f t="shared" ref="F42:R42" si="9">++F37*1000/(12*F14)</f>
        <v>#DIV/0!</v>
      </c>
      <c r="G42" s="212" t="e">
        <f t="shared" si="9"/>
        <v>#DIV/0!</v>
      </c>
      <c r="H42" s="212" t="e">
        <f t="shared" si="9"/>
        <v>#DIV/0!</v>
      </c>
      <c r="I42" s="212" t="e">
        <f t="shared" si="9"/>
        <v>#DIV/0!</v>
      </c>
      <c r="J42" s="212" t="e">
        <f t="shared" si="9"/>
        <v>#DIV/0!</v>
      </c>
      <c r="K42" s="212" t="e">
        <f t="shared" si="9"/>
        <v>#DIV/0!</v>
      </c>
      <c r="L42" s="212" t="e">
        <f t="shared" si="9"/>
        <v>#DIV/0!</v>
      </c>
      <c r="M42" s="212" t="e">
        <f t="shared" si="9"/>
        <v>#DIV/0!</v>
      </c>
      <c r="N42" s="212" t="e">
        <f t="shared" si="9"/>
        <v>#DIV/0!</v>
      </c>
      <c r="O42" s="212" t="e">
        <f t="shared" si="9"/>
        <v>#DIV/0!</v>
      </c>
      <c r="P42" s="212" t="e">
        <f t="shared" si="9"/>
        <v>#DIV/0!</v>
      </c>
      <c r="Q42" s="212" t="e">
        <f t="shared" si="9"/>
        <v>#DIV/0!</v>
      </c>
      <c r="R42" s="212" t="e">
        <f t="shared" si="9"/>
        <v>#DIV/0!</v>
      </c>
      <c r="S42" s="212"/>
      <c r="T42" s="217"/>
      <c r="U42" s="36"/>
    </row>
    <row r="43" spans="2:21" s="3" customFormat="1" ht="15.5" x14ac:dyDescent="0.35">
      <c r="B43" s="37"/>
      <c r="C43" s="37"/>
      <c r="D43" s="235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197"/>
      <c r="U43" s="37"/>
    </row>
    <row r="44" spans="2:21" ht="15.5" x14ac:dyDescent="0.35">
      <c r="B44" s="36" t="s">
        <v>240</v>
      </c>
      <c r="C44" s="36"/>
      <c r="D44" s="142"/>
      <c r="E44" s="237" t="e">
        <f>+E33*1000000/(E14*365)</f>
        <v>#DIV/0!</v>
      </c>
      <c r="F44" s="237" t="e">
        <f t="shared" ref="F44:Q44" si="10">+F33*1000000/(F14*365)</f>
        <v>#DIV/0!</v>
      </c>
      <c r="G44" s="237" t="e">
        <f t="shared" si="10"/>
        <v>#DIV/0!</v>
      </c>
      <c r="H44" s="237" t="e">
        <f t="shared" si="10"/>
        <v>#DIV/0!</v>
      </c>
      <c r="I44" s="237" t="e">
        <f t="shared" si="10"/>
        <v>#DIV/0!</v>
      </c>
      <c r="J44" s="237" t="e">
        <f t="shared" si="10"/>
        <v>#DIV/0!</v>
      </c>
      <c r="K44" s="237" t="e">
        <f t="shared" si="10"/>
        <v>#DIV/0!</v>
      </c>
      <c r="L44" s="237" t="e">
        <f t="shared" si="10"/>
        <v>#DIV/0!</v>
      </c>
      <c r="M44" s="237" t="e">
        <f t="shared" si="10"/>
        <v>#DIV/0!</v>
      </c>
      <c r="N44" s="237" t="e">
        <f t="shared" si="10"/>
        <v>#DIV/0!</v>
      </c>
      <c r="O44" s="237" t="e">
        <f t="shared" si="10"/>
        <v>#DIV/0!</v>
      </c>
      <c r="P44" s="237" t="e">
        <f t="shared" si="10"/>
        <v>#DIV/0!</v>
      </c>
      <c r="Q44" s="237" t="e">
        <f t="shared" si="10"/>
        <v>#DIV/0!</v>
      </c>
      <c r="R44" s="237" t="e">
        <f>+R33*1000000/(R14*365)</f>
        <v>#DIV/0!</v>
      </c>
      <c r="S44" s="212"/>
      <c r="T44" s="217"/>
      <c r="U44" s="36"/>
    </row>
    <row r="45" spans="2:21" ht="15.5" x14ac:dyDescent="0.35">
      <c r="B45" s="36" t="s">
        <v>241</v>
      </c>
      <c r="C45" s="36"/>
      <c r="D45" s="142"/>
      <c r="E45" s="237" t="e">
        <f>+E37*1000000/(E14*365)</f>
        <v>#DIV/0!</v>
      </c>
      <c r="F45" s="237" t="e">
        <f t="shared" ref="F45:Q45" si="11">+F37*1000000/(F14*365)</f>
        <v>#DIV/0!</v>
      </c>
      <c r="G45" s="237" t="e">
        <f t="shared" si="11"/>
        <v>#DIV/0!</v>
      </c>
      <c r="H45" s="237" t="e">
        <f t="shared" si="11"/>
        <v>#DIV/0!</v>
      </c>
      <c r="I45" s="237" t="e">
        <f t="shared" si="11"/>
        <v>#DIV/0!</v>
      </c>
      <c r="J45" s="237" t="e">
        <f t="shared" si="11"/>
        <v>#DIV/0!</v>
      </c>
      <c r="K45" s="237" t="e">
        <f t="shared" si="11"/>
        <v>#DIV/0!</v>
      </c>
      <c r="L45" s="237" t="e">
        <f t="shared" si="11"/>
        <v>#DIV/0!</v>
      </c>
      <c r="M45" s="237" t="e">
        <f t="shared" si="11"/>
        <v>#DIV/0!</v>
      </c>
      <c r="N45" s="237" t="e">
        <f t="shared" si="11"/>
        <v>#DIV/0!</v>
      </c>
      <c r="O45" s="237" t="e">
        <f t="shared" si="11"/>
        <v>#DIV/0!</v>
      </c>
      <c r="P45" s="237" t="e">
        <f t="shared" si="11"/>
        <v>#DIV/0!</v>
      </c>
      <c r="Q45" s="237" t="e">
        <f t="shared" si="11"/>
        <v>#DIV/0!</v>
      </c>
      <c r="R45" s="237" t="e">
        <f>+R37*1000000/(R14*365)</f>
        <v>#DIV/0!</v>
      </c>
      <c r="S45" s="212"/>
      <c r="T45" s="217"/>
      <c r="U45" s="36"/>
    </row>
    <row r="46" spans="2:21" ht="15.5" x14ac:dyDescent="0.35">
      <c r="B46" s="36" t="s">
        <v>242</v>
      </c>
      <c r="C46" s="36"/>
      <c r="D46" s="142"/>
      <c r="E46" s="237" t="e">
        <f>+E44-E45</f>
        <v>#DIV/0!</v>
      </c>
      <c r="F46" s="237" t="e">
        <f t="shared" ref="F46:Q46" si="12">+F44-F45</f>
        <v>#DIV/0!</v>
      </c>
      <c r="G46" s="237" t="e">
        <f t="shared" si="12"/>
        <v>#DIV/0!</v>
      </c>
      <c r="H46" s="237" t="e">
        <f t="shared" si="12"/>
        <v>#DIV/0!</v>
      </c>
      <c r="I46" s="237" t="e">
        <f t="shared" si="12"/>
        <v>#DIV/0!</v>
      </c>
      <c r="J46" s="237" t="e">
        <f t="shared" si="12"/>
        <v>#DIV/0!</v>
      </c>
      <c r="K46" s="237" t="e">
        <f t="shared" si="12"/>
        <v>#DIV/0!</v>
      </c>
      <c r="L46" s="237" t="e">
        <f t="shared" si="12"/>
        <v>#DIV/0!</v>
      </c>
      <c r="M46" s="237" t="e">
        <f t="shared" si="12"/>
        <v>#DIV/0!</v>
      </c>
      <c r="N46" s="237" t="e">
        <f t="shared" si="12"/>
        <v>#DIV/0!</v>
      </c>
      <c r="O46" s="237" t="e">
        <f t="shared" si="12"/>
        <v>#DIV/0!</v>
      </c>
      <c r="P46" s="237" t="e">
        <f t="shared" si="12"/>
        <v>#DIV/0!</v>
      </c>
      <c r="Q46" s="237" t="e">
        <f t="shared" si="12"/>
        <v>#DIV/0!</v>
      </c>
      <c r="R46" s="237" t="e">
        <f>+R44-R45</f>
        <v>#DIV/0!</v>
      </c>
      <c r="S46" s="212"/>
      <c r="T46" s="217"/>
      <c r="U46" s="36"/>
    </row>
    <row r="47" spans="2:21" ht="15.5" x14ac:dyDescent="0.35">
      <c r="B47" s="36"/>
      <c r="C47" s="36"/>
      <c r="D47" s="96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143"/>
    </row>
    <row r="48" spans="2:21" ht="15.5" x14ac:dyDescent="0.35">
      <c r="B48" s="36" t="s">
        <v>203</v>
      </c>
      <c r="C48" s="37" t="s">
        <v>106</v>
      </c>
      <c r="D48" s="98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36"/>
    </row>
    <row r="49" spans="2:21" ht="15.5" x14ac:dyDescent="0.35">
      <c r="B49" s="36" t="s">
        <v>204</v>
      </c>
      <c r="C49" s="37" t="s">
        <v>107</v>
      </c>
      <c r="D49" s="98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36"/>
    </row>
    <row r="50" spans="2:21" ht="15.5" x14ac:dyDescent="0.35">
      <c r="B50" s="36" t="s">
        <v>205</v>
      </c>
      <c r="C50" s="37" t="s">
        <v>110</v>
      </c>
      <c r="D50" s="191"/>
      <c r="E50" s="214" t="e">
        <f t="shared" ref="E50:R50" si="13">+E48/E4</f>
        <v>#DIV/0!</v>
      </c>
      <c r="F50" s="214" t="e">
        <f t="shared" si="13"/>
        <v>#DIV/0!</v>
      </c>
      <c r="G50" s="214" t="e">
        <f t="shared" si="13"/>
        <v>#DIV/0!</v>
      </c>
      <c r="H50" s="214" t="e">
        <f t="shared" si="13"/>
        <v>#DIV/0!</v>
      </c>
      <c r="I50" s="214" t="e">
        <f t="shared" si="13"/>
        <v>#DIV/0!</v>
      </c>
      <c r="J50" s="214" t="e">
        <f t="shared" si="13"/>
        <v>#DIV/0!</v>
      </c>
      <c r="K50" s="214" t="e">
        <f t="shared" si="13"/>
        <v>#DIV/0!</v>
      </c>
      <c r="L50" s="214" t="e">
        <f t="shared" si="13"/>
        <v>#DIV/0!</v>
      </c>
      <c r="M50" s="214" t="e">
        <f t="shared" si="13"/>
        <v>#DIV/0!</v>
      </c>
      <c r="N50" s="214" t="e">
        <f t="shared" si="13"/>
        <v>#DIV/0!</v>
      </c>
      <c r="O50" s="214" t="e">
        <f t="shared" si="13"/>
        <v>#DIV/0!</v>
      </c>
      <c r="P50" s="214" t="e">
        <f t="shared" si="13"/>
        <v>#DIV/0!</v>
      </c>
      <c r="Q50" s="214" t="e">
        <f t="shared" si="13"/>
        <v>#DIV/0!</v>
      </c>
      <c r="R50" s="214" t="e">
        <f t="shared" si="13"/>
        <v>#DIV/0!</v>
      </c>
      <c r="S50" s="201"/>
      <c r="T50" s="245"/>
      <c r="U50" s="36"/>
    </row>
    <row r="51" spans="2:21" ht="15.5" x14ac:dyDescent="0.35">
      <c r="B51" s="36" t="s">
        <v>206</v>
      </c>
      <c r="C51" s="37" t="s">
        <v>111</v>
      </c>
      <c r="D51" s="191"/>
      <c r="E51" s="214" t="e">
        <f t="shared" ref="E51:R51" si="14">SUM(E49)/E14*1000</f>
        <v>#DIV/0!</v>
      </c>
      <c r="F51" s="214" t="e">
        <f t="shared" si="14"/>
        <v>#DIV/0!</v>
      </c>
      <c r="G51" s="214" t="e">
        <f t="shared" si="14"/>
        <v>#DIV/0!</v>
      </c>
      <c r="H51" s="214" t="e">
        <f t="shared" si="14"/>
        <v>#DIV/0!</v>
      </c>
      <c r="I51" s="214" t="e">
        <f t="shared" si="14"/>
        <v>#DIV/0!</v>
      </c>
      <c r="J51" s="214" t="e">
        <f t="shared" si="14"/>
        <v>#DIV/0!</v>
      </c>
      <c r="K51" s="214" t="e">
        <f t="shared" si="14"/>
        <v>#DIV/0!</v>
      </c>
      <c r="L51" s="214" t="e">
        <f t="shared" si="14"/>
        <v>#DIV/0!</v>
      </c>
      <c r="M51" s="214" t="e">
        <f t="shared" si="14"/>
        <v>#DIV/0!</v>
      </c>
      <c r="N51" s="214" t="e">
        <f t="shared" si="14"/>
        <v>#DIV/0!</v>
      </c>
      <c r="O51" s="214" t="e">
        <f t="shared" si="14"/>
        <v>#DIV/0!</v>
      </c>
      <c r="P51" s="214" t="e">
        <f t="shared" si="14"/>
        <v>#DIV/0!</v>
      </c>
      <c r="Q51" s="214" t="e">
        <f t="shared" si="14"/>
        <v>#DIV/0!</v>
      </c>
      <c r="R51" s="214" t="e">
        <f t="shared" si="14"/>
        <v>#DIV/0!</v>
      </c>
      <c r="S51" s="201"/>
      <c r="T51" s="245"/>
      <c r="U51" s="36"/>
    </row>
    <row r="52" spans="2:21" s="3" customFormat="1" ht="15.5" x14ac:dyDescent="0.35">
      <c r="B52" s="37"/>
      <c r="C52" s="37"/>
      <c r="D52" s="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37"/>
    </row>
    <row r="53" spans="2:21" ht="15.5" x14ac:dyDescent="0.35">
      <c r="B53" s="36" t="s">
        <v>207</v>
      </c>
      <c r="C53" s="37" t="s">
        <v>108</v>
      </c>
      <c r="D53" s="92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36"/>
    </row>
    <row r="54" spans="2:21" ht="15.5" x14ac:dyDescent="0.35">
      <c r="B54" s="36" t="s">
        <v>208</v>
      </c>
      <c r="C54" s="37" t="s">
        <v>109</v>
      </c>
      <c r="D54" s="92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36"/>
    </row>
    <row r="55" spans="2:21" ht="15.5" x14ac:dyDescent="0.35">
      <c r="B55" s="36" t="s">
        <v>209</v>
      </c>
      <c r="C55" s="37" t="s">
        <v>112</v>
      </c>
      <c r="D55" s="94"/>
      <c r="E55" s="215" t="e">
        <f t="shared" ref="E55:R55" si="15">SUM(E53)/E4</f>
        <v>#DIV/0!</v>
      </c>
      <c r="F55" s="215" t="e">
        <f t="shared" si="15"/>
        <v>#DIV/0!</v>
      </c>
      <c r="G55" s="215" t="e">
        <f t="shared" si="15"/>
        <v>#DIV/0!</v>
      </c>
      <c r="H55" s="215" t="e">
        <f t="shared" si="15"/>
        <v>#DIV/0!</v>
      </c>
      <c r="I55" s="215" t="e">
        <f t="shared" si="15"/>
        <v>#DIV/0!</v>
      </c>
      <c r="J55" s="215" t="e">
        <f t="shared" si="15"/>
        <v>#DIV/0!</v>
      </c>
      <c r="K55" s="215" t="e">
        <f t="shared" si="15"/>
        <v>#DIV/0!</v>
      </c>
      <c r="L55" s="215" t="e">
        <f t="shared" si="15"/>
        <v>#DIV/0!</v>
      </c>
      <c r="M55" s="215" t="e">
        <f t="shared" si="15"/>
        <v>#DIV/0!</v>
      </c>
      <c r="N55" s="215" t="e">
        <f t="shared" si="15"/>
        <v>#DIV/0!</v>
      </c>
      <c r="O55" s="215" t="e">
        <f t="shared" si="15"/>
        <v>#DIV/0!</v>
      </c>
      <c r="P55" s="215" t="e">
        <f t="shared" si="15"/>
        <v>#DIV/0!</v>
      </c>
      <c r="Q55" s="215" t="e">
        <f t="shared" si="15"/>
        <v>#DIV/0!</v>
      </c>
      <c r="R55" s="215" t="e">
        <f t="shared" si="15"/>
        <v>#DIV/0!</v>
      </c>
      <c r="S55" s="215"/>
      <c r="T55" s="246"/>
      <c r="U55" s="36"/>
    </row>
    <row r="56" spans="2:21" ht="15.5" x14ac:dyDescent="0.35">
      <c r="B56" s="36" t="s">
        <v>210</v>
      </c>
      <c r="C56" s="37" t="s">
        <v>113</v>
      </c>
      <c r="D56" s="93"/>
      <c r="E56" s="216" t="e">
        <f t="shared" ref="E56:R56" si="16">SUM(E54)/E14*1000</f>
        <v>#DIV/0!</v>
      </c>
      <c r="F56" s="216" t="e">
        <f t="shared" si="16"/>
        <v>#DIV/0!</v>
      </c>
      <c r="G56" s="216" t="e">
        <f t="shared" si="16"/>
        <v>#DIV/0!</v>
      </c>
      <c r="H56" s="216" t="e">
        <f t="shared" si="16"/>
        <v>#DIV/0!</v>
      </c>
      <c r="I56" s="216" t="e">
        <f t="shared" si="16"/>
        <v>#DIV/0!</v>
      </c>
      <c r="J56" s="216" t="e">
        <f t="shared" si="16"/>
        <v>#DIV/0!</v>
      </c>
      <c r="K56" s="216" t="e">
        <f t="shared" si="16"/>
        <v>#DIV/0!</v>
      </c>
      <c r="L56" s="216" t="e">
        <f t="shared" si="16"/>
        <v>#DIV/0!</v>
      </c>
      <c r="M56" s="216" t="e">
        <f t="shared" si="16"/>
        <v>#DIV/0!</v>
      </c>
      <c r="N56" s="216" t="e">
        <f t="shared" si="16"/>
        <v>#DIV/0!</v>
      </c>
      <c r="O56" s="216" t="e">
        <f t="shared" si="16"/>
        <v>#DIV/0!</v>
      </c>
      <c r="P56" s="216" t="e">
        <f t="shared" si="16"/>
        <v>#DIV/0!</v>
      </c>
      <c r="Q56" s="216" t="e">
        <f t="shared" si="16"/>
        <v>#DIV/0!</v>
      </c>
      <c r="R56" s="216" t="e">
        <f t="shared" si="16"/>
        <v>#DIV/0!</v>
      </c>
      <c r="S56" s="216"/>
      <c r="T56" s="247"/>
      <c r="U56" s="36"/>
    </row>
    <row r="57" spans="2:21" ht="15.5" x14ac:dyDescent="0.35">
      <c r="B57" s="2"/>
      <c r="C57" s="2"/>
      <c r="D57" s="2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71"/>
      <c r="U57" s="36"/>
    </row>
    <row r="58" spans="2:21" ht="15.5" x14ac:dyDescent="0.35">
      <c r="B58" s="2" t="s">
        <v>248</v>
      </c>
      <c r="C58" s="2"/>
      <c r="D58" s="238"/>
      <c r="E58" s="238">
        <f t="shared" ref="E58:N58" si="17">+E25*365*(18*E4+0.8*E14+25*E14*6/1000)/1000000</f>
        <v>0</v>
      </c>
      <c r="F58" s="238">
        <f t="shared" si="17"/>
        <v>0</v>
      </c>
      <c r="G58" s="238">
        <f t="shared" si="17"/>
        <v>0</v>
      </c>
      <c r="H58" s="238">
        <f t="shared" si="17"/>
        <v>0</v>
      </c>
      <c r="I58" s="238">
        <f t="shared" si="17"/>
        <v>0</v>
      </c>
      <c r="J58" s="238">
        <f t="shared" si="17"/>
        <v>0</v>
      </c>
      <c r="K58" s="238">
        <f t="shared" si="17"/>
        <v>0</v>
      </c>
      <c r="L58" s="238">
        <f t="shared" si="17"/>
        <v>0</v>
      </c>
      <c r="M58" s="238">
        <f t="shared" si="17"/>
        <v>0</v>
      </c>
      <c r="N58" s="238">
        <f t="shared" si="17"/>
        <v>0</v>
      </c>
      <c r="O58" s="238">
        <f>+O25*365*(18*O4+0.8*O14+25*O14*6/1000)/1000000</f>
        <v>0</v>
      </c>
      <c r="P58" s="238">
        <f>+P25*365*(18*P4+0.8*P14+25*P14*6/1000)/1000000</f>
        <v>0</v>
      </c>
      <c r="Q58" s="238">
        <f>+Q25*365*(18*Q4+0.8*Q14+25*Q14*6/1000)/1000000</f>
        <v>0</v>
      </c>
      <c r="R58" s="238">
        <f>+R25*365*(18*R4+0.8*R14+25*R14*6/1000)/1000000</f>
        <v>0</v>
      </c>
      <c r="S58" s="238"/>
      <c r="T58" s="188"/>
      <c r="U58" s="36"/>
    </row>
    <row r="59" spans="2:21" ht="15.5" x14ac:dyDescent="0.35">
      <c r="B59" s="2" t="s">
        <v>219</v>
      </c>
      <c r="C59" s="2"/>
      <c r="D59" s="214"/>
      <c r="E59" s="214" t="e">
        <f>+'Water Balance'!E15/'System Attributes and Operation'!E58</f>
        <v>#DIV/0!</v>
      </c>
      <c r="F59" s="214" t="e">
        <f>+'Water Balance'!F15/'System Attributes and Operation'!F58</f>
        <v>#DIV/0!</v>
      </c>
      <c r="G59" s="214" t="e">
        <f>+'Water Balance'!G15/'System Attributes and Operation'!G58</f>
        <v>#DIV/0!</v>
      </c>
      <c r="H59" s="214" t="e">
        <f>+'Water Balance'!H15/'System Attributes and Operation'!H58</f>
        <v>#DIV/0!</v>
      </c>
      <c r="I59" s="214" t="e">
        <f>+'Water Balance'!I15/'System Attributes and Operation'!I58</f>
        <v>#DIV/0!</v>
      </c>
      <c r="J59" s="214" t="e">
        <f>+'Water Balance'!J15/'System Attributes and Operation'!J58</f>
        <v>#DIV/0!</v>
      </c>
      <c r="K59" s="214" t="e">
        <f>+'Water Balance'!K15/'System Attributes and Operation'!K58</f>
        <v>#DIV/0!</v>
      </c>
      <c r="L59" s="214" t="e">
        <f>+'Water Balance'!L15/'System Attributes and Operation'!L58</f>
        <v>#DIV/0!</v>
      </c>
      <c r="M59" s="214" t="e">
        <f>+'Water Balance'!M15/'System Attributes and Operation'!M58</f>
        <v>#DIV/0!</v>
      </c>
      <c r="N59" s="214" t="e">
        <f>+'Water Balance'!N15/'System Attributes and Operation'!N58</f>
        <v>#DIV/0!</v>
      </c>
      <c r="O59" s="214" t="e">
        <f>+'Water Balance'!O15/'System Attributes and Operation'!O58</f>
        <v>#DIV/0!</v>
      </c>
      <c r="P59" s="214" t="e">
        <f>+'Water Balance'!P15/'System Attributes and Operation'!P58</f>
        <v>#DIV/0!</v>
      </c>
      <c r="Q59" s="214" t="e">
        <f>+'Water Balance'!Q15/'System Attributes and Operation'!Q58</f>
        <v>#DIV/0!</v>
      </c>
      <c r="R59" s="214" t="e">
        <f>+'Water Balance'!R15/'System Attributes and Operation'!R58</f>
        <v>#DIV/0!</v>
      </c>
      <c r="S59" s="214"/>
      <c r="T59" s="248"/>
      <c r="U59" s="36"/>
    </row>
    <row r="60" spans="2:21" ht="15.5" x14ac:dyDescent="0.35">
      <c r="B60" s="2" t="s">
        <v>249</v>
      </c>
      <c r="C60" s="2"/>
      <c r="D60" s="214"/>
      <c r="E60" s="214">
        <f t="shared" ref="E60:N60" si="18">+E25/20</f>
        <v>0</v>
      </c>
      <c r="F60" s="214">
        <f t="shared" si="18"/>
        <v>0</v>
      </c>
      <c r="G60" s="214">
        <f t="shared" si="18"/>
        <v>0</v>
      </c>
      <c r="H60" s="214">
        <f t="shared" si="18"/>
        <v>0</v>
      </c>
      <c r="I60" s="214">
        <f t="shared" si="18"/>
        <v>0</v>
      </c>
      <c r="J60" s="214">
        <f t="shared" si="18"/>
        <v>0</v>
      </c>
      <c r="K60" s="214">
        <f t="shared" si="18"/>
        <v>0</v>
      </c>
      <c r="L60" s="214">
        <f t="shared" si="18"/>
        <v>0</v>
      </c>
      <c r="M60" s="214">
        <f t="shared" si="18"/>
        <v>0</v>
      </c>
      <c r="N60" s="214">
        <f t="shared" si="18"/>
        <v>0</v>
      </c>
      <c r="O60" s="214">
        <f>+O25/20</f>
        <v>0</v>
      </c>
      <c r="P60" s="214">
        <f>+P25/20</f>
        <v>0</v>
      </c>
      <c r="Q60" s="214">
        <f>+Q25/20</f>
        <v>0</v>
      </c>
      <c r="R60" s="214">
        <f>+R25/20</f>
        <v>0</v>
      </c>
      <c r="S60" s="214"/>
      <c r="T60" s="248"/>
      <c r="U60" s="36"/>
    </row>
    <row r="61" spans="2:21" ht="15.5" x14ac:dyDescent="0.35">
      <c r="B61" s="2" t="s">
        <v>221</v>
      </c>
      <c r="C61" s="2"/>
      <c r="D61" s="214"/>
      <c r="E61" s="214" t="e">
        <f t="shared" ref="E61:N61" si="19">+E60*E59</f>
        <v>#DIV/0!</v>
      </c>
      <c r="F61" s="214" t="e">
        <f t="shared" si="19"/>
        <v>#DIV/0!</v>
      </c>
      <c r="G61" s="214" t="e">
        <f t="shared" si="19"/>
        <v>#DIV/0!</v>
      </c>
      <c r="H61" s="214" t="e">
        <f t="shared" si="19"/>
        <v>#DIV/0!</v>
      </c>
      <c r="I61" s="214" t="e">
        <f t="shared" si="19"/>
        <v>#DIV/0!</v>
      </c>
      <c r="J61" s="214" t="e">
        <f t="shared" si="19"/>
        <v>#DIV/0!</v>
      </c>
      <c r="K61" s="214" t="e">
        <f t="shared" si="19"/>
        <v>#DIV/0!</v>
      </c>
      <c r="L61" s="214" t="e">
        <f t="shared" si="19"/>
        <v>#DIV/0!</v>
      </c>
      <c r="M61" s="214" t="e">
        <f t="shared" si="19"/>
        <v>#DIV/0!</v>
      </c>
      <c r="N61" s="214" t="e">
        <f t="shared" si="19"/>
        <v>#DIV/0!</v>
      </c>
      <c r="O61" s="214" t="e">
        <f t="shared" ref="O61:R61" si="20">+O60*O59</f>
        <v>#DIV/0!</v>
      </c>
      <c r="P61" s="214" t="e">
        <f t="shared" si="20"/>
        <v>#DIV/0!</v>
      </c>
      <c r="Q61" s="214" t="e">
        <f t="shared" si="20"/>
        <v>#DIV/0!</v>
      </c>
      <c r="R61" s="214" t="e">
        <f t="shared" si="20"/>
        <v>#DIV/0!</v>
      </c>
      <c r="S61" s="214"/>
      <c r="T61" s="248"/>
      <c r="U61" s="36"/>
    </row>
    <row r="63" spans="2:21" x14ac:dyDescent="0.35">
      <c r="B63" t="s">
        <v>223</v>
      </c>
    </row>
    <row r="64" spans="2:21" x14ac:dyDescent="0.35">
      <c r="B64" t="s">
        <v>224</v>
      </c>
    </row>
    <row r="65" spans="2:2" x14ac:dyDescent="0.35">
      <c r="B65" t="s">
        <v>225</v>
      </c>
    </row>
  </sheetData>
  <mergeCells count="1">
    <mergeCell ref="E2:I2"/>
  </mergeCells>
  <phoneticPr fontId="26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EU61"/>
  <sheetViews>
    <sheetView zoomScale="80" zoomScaleNormal="80" zoomScalePageLayoutView="110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J23" sqref="J23"/>
    </sheetView>
  </sheetViews>
  <sheetFormatPr defaultColWidth="8.81640625" defaultRowHeight="14.5" x14ac:dyDescent="0.35"/>
  <cols>
    <col min="1" max="1" width="4.1796875" style="81" customWidth="1"/>
    <col min="2" max="2" width="42.453125" style="80" customWidth="1"/>
    <col min="3" max="3" width="34.81640625" hidden="1" customWidth="1"/>
    <col min="4" max="4" width="14.6328125" customWidth="1"/>
    <col min="5" max="6" width="14.1796875" style="3" customWidth="1"/>
    <col min="7" max="7" width="14" style="3" customWidth="1"/>
    <col min="8" max="8" width="14.6328125" style="3" customWidth="1"/>
    <col min="9" max="11" width="13.36328125" customWidth="1"/>
    <col min="12" max="12" width="13.453125" customWidth="1"/>
    <col min="13" max="14" width="13.36328125" customWidth="1"/>
    <col min="15" max="15" width="14.453125" customWidth="1"/>
    <col min="16" max="17" width="13.36328125" customWidth="1"/>
    <col min="18" max="18" width="13.36328125" style="4" customWidth="1"/>
    <col min="19" max="19" width="13.36328125" customWidth="1"/>
    <col min="20" max="20" width="50.36328125" customWidth="1"/>
    <col min="21" max="21" width="39.6328125" customWidth="1"/>
    <col min="22" max="22" width="9.6328125" customWidth="1"/>
    <col min="23" max="23" width="12" style="3" customWidth="1"/>
    <col min="25" max="25" width="11.6328125" customWidth="1"/>
    <col min="26" max="26" width="14.453125" customWidth="1"/>
    <col min="27" max="27" width="12.1796875" customWidth="1"/>
  </cols>
  <sheetData>
    <row r="1" spans="1:26 16375:16375" ht="18.5" x14ac:dyDescent="0.45">
      <c r="B1" s="87" t="s">
        <v>161</v>
      </c>
      <c r="C1" s="97" t="s">
        <v>85</v>
      </c>
      <c r="D1" s="97"/>
      <c r="E1" s="404"/>
      <c r="F1" s="404"/>
      <c r="G1" s="404"/>
      <c r="H1" s="404"/>
      <c r="I1" s="404"/>
      <c r="J1" s="253"/>
      <c r="K1" s="253"/>
      <c r="L1" s="253"/>
      <c r="M1" s="253"/>
      <c r="N1" s="253"/>
      <c r="O1" s="253"/>
      <c r="P1" s="253"/>
      <c r="Q1" s="253"/>
      <c r="R1" s="306"/>
      <c r="S1" s="253"/>
      <c r="T1" s="253"/>
      <c r="Y1" s="46"/>
      <c r="Z1" s="5"/>
    </row>
    <row r="2" spans="1:26 16375:16375" s="3" customFormat="1" ht="18.5" x14ac:dyDescent="0.45">
      <c r="A2" s="320"/>
      <c r="B2" s="327"/>
      <c r="C2" s="328"/>
      <c r="D2" s="328"/>
      <c r="E2" s="329"/>
      <c r="F2" s="329"/>
      <c r="G2" s="329"/>
      <c r="H2" s="329"/>
      <c r="I2" s="329"/>
      <c r="R2" s="31"/>
      <c r="Y2" s="330"/>
      <c r="Z2" s="331"/>
    </row>
    <row r="3" spans="1:26 16375:16375" ht="15.5" x14ac:dyDescent="0.35">
      <c r="B3" s="308" t="s">
        <v>160</v>
      </c>
      <c r="C3" s="120" t="s">
        <v>73</v>
      </c>
      <c r="D3" s="128">
        <f>+Summary!D3</f>
        <v>2000</v>
      </c>
      <c r="E3" s="128">
        <f>+Summary!E3</f>
        <v>2001</v>
      </c>
      <c r="F3" s="128">
        <f>+Summary!F3</f>
        <v>2002</v>
      </c>
      <c r="G3" s="128">
        <f>+Summary!G3</f>
        <v>2003</v>
      </c>
      <c r="H3" s="128">
        <f>+Summary!H3</f>
        <v>2004</v>
      </c>
      <c r="I3" s="128">
        <f>+Summary!I3</f>
        <v>2005</v>
      </c>
      <c r="J3" s="128">
        <f>+Summary!J3</f>
        <v>2006</v>
      </c>
      <c r="K3" s="128">
        <f>+Summary!K3</f>
        <v>2007</v>
      </c>
      <c r="L3" s="128">
        <f>+Summary!L3</f>
        <v>2008</v>
      </c>
      <c r="M3" s="128">
        <f>+Summary!M3</f>
        <v>2009</v>
      </c>
      <c r="N3" s="128">
        <f>+Summary!N3</f>
        <v>2010</v>
      </c>
      <c r="O3" s="128">
        <f>+Summary!O3</f>
        <v>2011</v>
      </c>
      <c r="P3" s="128">
        <f>+Summary!P3</f>
        <v>2012</v>
      </c>
      <c r="Q3" s="128">
        <f>+Summary!Q3</f>
        <v>2013</v>
      </c>
      <c r="R3" s="128">
        <f>+Summary!R3</f>
        <v>2014</v>
      </c>
      <c r="S3" s="128">
        <f>+Summary!S3</f>
        <v>2015</v>
      </c>
      <c r="T3" s="26" t="s">
        <v>12</v>
      </c>
      <c r="Y3" s="46"/>
      <c r="Z3" s="5"/>
    </row>
    <row r="4" spans="1:26 16375:16375" x14ac:dyDescent="0.35">
      <c r="B4" s="309" t="s">
        <v>146</v>
      </c>
      <c r="C4" s="79" t="s">
        <v>89</v>
      </c>
      <c r="D4" s="144"/>
      <c r="E4" s="146"/>
      <c r="F4" s="146"/>
      <c r="G4" s="146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</row>
    <row r="5" spans="1:26 16375:16375" x14ac:dyDescent="0.35">
      <c r="B5" s="310" t="s">
        <v>153</v>
      </c>
      <c r="C5" s="1" t="s">
        <v>75</v>
      </c>
      <c r="D5" s="1"/>
      <c r="E5" s="148"/>
      <c r="F5" s="148"/>
      <c r="G5" s="148"/>
      <c r="H5" s="148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2"/>
    </row>
    <row r="6" spans="1:26 16375:16375" x14ac:dyDescent="0.35">
      <c r="B6" s="310" t="s">
        <v>147</v>
      </c>
      <c r="C6" s="1" t="s">
        <v>76</v>
      </c>
      <c r="D6" s="1"/>
      <c r="E6" s="148"/>
      <c r="F6" s="148"/>
      <c r="G6" s="148"/>
      <c r="H6" s="148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2"/>
    </row>
    <row r="7" spans="1:26 16375:16375" x14ac:dyDescent="0.35">
      <c r="B7" s="310" t="s">
        <v>148</v>
      </c>
      <c r="C7" s="1" t="s">
        <v>77</v>
      </c>
      <c r="D7" s="1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2"/>
    </row>
    <row r="8" spans="1:26 16375:16375" x14ac:dyDescent="0.35">
      <c r="B8" s="311" t="s">
        <v>150</v>
      </c>
      <c r="C8" s="12" t="s">
        <v>149</v>
      </c>
      <c r="D8" s="148"/>
      <c r="E8" s="149">
        <f>SUM(E5:E7)</f>
        <v>0</v>
      </c>
      <c r="F8" s="149">
        <f t="shared" ref="F8:J8" si="0">SUM(F5:F7)</f>
        <v>0</v>
      </c>
      <c r="G8" s="149">
        <f t="shared" si="0"/>
        <v>0</v>
      </c>
      <c r="H8" s="149">
        <f t="shared" si="0"/>
        <v>0</v>
      </c>
      <c r="I8" s="149">
        <f t="shared" si="0"/>
        <v>0</v>
      </c>
      <c r="J8" s="149">
        <f t="shared" si="0"/>
        <v>0</v>
      </c>
      <c r="K8" s="149">
        <f>SUM(K5:K7)</f>
        <v>0</v>
      </c>
      <c r="L8" s="149">
        <f t="shared" ref="L8:R8" si="1">SUM(L5:L7)</f>
        <v>0</v>
      </c>
      <c r="M8" s="149">
        <f t="shared" si="1"/>
        <v>0</v>
      </c>
      <c r="N8" s="149">
        <f t="shared" si="1"/>
        <v>0</v>
      </c>
      <c r="O8" s="149">
        <f t="shared" si="1"/>
        <v>0</v>
      </c>
      <c r="P8" s="149">
        <f t="shared" si="1"/>
        <v>0</v>
      </c>
      <c r="Q8" s="149">
        <f t="shared" si="1"/>
        <v>0</v>
      </c>
      <c r="R8" s="149">
        <f t="shared" si="1"/>
        <v>0</v>
      </c>
      <c r="S8" s="149"/>
      <c r="T8" s="2"/>
      <c r="XEU8" s="1"/>
    </row>
    <row r="9" spans="1:26 16375:16375" x14ac:dyDescent="0.35">
      <c r="B9" s="310" t="s">
        <v>151</v>
      </c>
      <c r="C9" s="1" t="s">
        <v>97</v>
      </c>
      <c r="D9" s="148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2"/>
    </row>
    <row r="10" spans="1:26 16375:16375" x14ac:dyDescent="0.35">
      <c r="B10" s="311" t="s">
        <v>238</v>
      </c>
      <c r="C10" s="12" t="s">
        <v>78</v>
      </c>
      <c r="D10" s="148"/>
      <c r="E10" s="149">
        <f t="shared" ref="E10:J10" si="2">+E9+E8</f>
        <v>0</v>
      </c>
      <c r="F10" s="149">
        <f t="shared" si="2"/>
        <v>0</v>
      </c>
      <c r="G10" s="149">
        <f t="shared" si="2"/>
        <v>0</v>
      </c>
      <c r="H10" s="149">
        <f t="shared" si="2"/>
        <v>0</v>
      </c>
      <c r="I10" s="149">
        <f t="shared" si="2"/>
        <v>0</v>
      </c>
      <c r="J10" s="149">
        <f t="shared" si="2"/>
        <v>0</v>
      </c>
      <c r="K10" s="149">
        <f>+K9+K8</f>
        <v>0</v>
      </c>
      <c r="L10" s="149">
        <f t="shared" ref="L10:R10" si="3">+L9+L8</f>
        <v>0</v>
      </c>
      <c r="M10" s="149">
        <f t="shared" si="3"/>
        <v>0</v>
      </c>
      <c r="N10" s="149">
        <f t="shared" si="3"/>
        <v>0</v>
      </c>
      <c r="O10" s="149">
        <f t="shared" si="3"/>
        <v>0</v>
      </c>
      <c r="P10" s="149">
        <f t="shared" si="3"/>
        <v>0</v>
      </c>
      <c r="Q10" s="149">
        <f t="shared" si="3"/>
        <v>0</v>
      </c>
      <c r="R10" s="149">
        <f t="shared" si="3"/>
        <v>0</v>
      </c>
      <c r="S10" s="149"/>
      <c r="T10" s="2"/>
    </row>
    <row r="11" spans="1:26 16375:16375" s="3" customFormat="1" x14ac:dyDescent="0.35">
      <c r="A11" s="320"/>
      <c r="B11" s="82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4"/>
      <c r="S11" s="154"/>
      <c r="T11" s="239"/>
    </row>
    <row r="12" spans="1:26 16375:16375" x14ac:dyDescent="0.35">
      <c r="B12" s="312" t="s">
        <v>152</v>
      </c>
      <c r="C12" s="73" t="s">
        <v>79</v>
      </c>
      <c r="D12" s="145"/>
      <c r="E12" s="153"/>
      <c r="F12" s="153"/>
      <c r="G12" s="153"/>
      <c r="H12" s="153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4"/>
    </row>
    <row r="13" spans="1:26 16375:16375" x14ac:dyDescent="0.35">
      <c r="B13" s="310" t="s">
        <v>228</v>
      </c>
      <c r="C13" s="1" t="s">
        <v>80</v>
      </c>
      <c r="D13" s="1"/>
      <c r="E13" s="148"/>
      <c r="F13" s="148"/>
      <c r="G13" s="148"/>
      <c r="H13" s="148"/>
      <c r="I13" s="147"/>
      <c r="J13" s="147"/>
      <c r="K13" s="147"/>
      <c r="L13" s="147"/>
      <c r="M13" s="148"/>
      <c r="N13" s="148"/>
      <c r="O13" s="148"/>
      <c r="P13" s="147"/>
      <c r="Q13" s="148"/>
      <c r="R13" s="148"/>
      <c r="S13" s="148"/>
      <c r="T13" s="2"/>
    </row>
    <row r="14" spans="1:26 16375:16375" x14ac:dyDescent="0.35">
      <c r="B14" s="310" t="s">
        <v>229</v>
      </c>
      <c r="C14" s="1" t="s">
        <v>81</v>
      </c>
      <c r="D14" s="1"/>
      <c r="E14" s="148"/>
      <c r="F14" s="148"/>
      <c r="G14" s="148"/>
      <c r="H14" s="148"/>
      <c r="I14" s="147"/>
      <c r="J14" s="147"/>
      <c r="K14" s="147"/>
      <c r="L14" s="147"/>
      <c r="M14" s="147"/>
      <c r="N14" s="148"/>
      <c r="O14" s="148"/>
      <c r="P14" s="147"/>
      <c r="Q14" s="147"/>
      <c r="R14" s="147"/>
      <c r="S14" s="147"/>
      <c r="T14" s="2"/>
    </row>
    <row r="15" spans="1:26 16375:16375" x14ac:dyDescent="0.35">
      <c r="B15" s="240" t="s">
        <v>159</v>
      </c>
      <c r="C15" s="1" t="s">
        <v>82</v>
      </c>
      <c r="D15" s="1"/>
      <c r="E15" s="148"/>
      <c r="F15" s="148"/>
      <c r="G15" s="148"/>
      <c r="H15" s="148"/>
      <c r="I15" s="147"/>
      <c r="J15" s="147"/>
      <c r="K15" s="147"/>
      <c r="L15" s="147"/>
      <c r="M15" s="147"/>
      <c r="N15" s="148"/>
      <c r="O15" s="148"/>
      <c r="P15" s="147"/>
      <c r="Q15" s="147"/>
      <c r="R15" s="147"/>
      <c r="S15" s="147"/>
      <c r="T15" s="2"/>
    </row>
    <row r="16" spans="1:26 16375:16375" x14ac:dyDescent="0.35">
      <c r="B16" s="310" t="s">
        <v>230</v>
      </c>
      <c r="C16" s="1" t="s">
        <v>83</v>
      </c>
      <c r="D16" s="1"/>
      <c r="E16" s="148"/>
      <c r="F16" s="148"/>
      <c r="G16" s="148"/>
      <c r="H16" s="148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2"/>
    </row>
    <row r="17" spans="1:20" x14ac:dyDescent="0.35">
      <c r="B17" s="311" t="s">
        <v>158</v>
      </c>
      <c r="C17" s="12" t="s">
        <v>95</v>
      </c>
      <c r="D17" s="148"/>
      <c r="E17" s="149">
        <f>+E16+E15+E14+E13</f>
        <v>0</v>
      </c>
      <c r="F17" s="149">
        <f t="shared" ref="F17:R17" si="4">+F16+F15+F14+F13</f>
        <v>0</v>
      </c>
      <c r="G17" s="149">
        <f t="shared" si="4"/>
        <v>0</v>
      </c>
      <c r="H17" s="149">
        <f t="shared" si="4"/>
        <v>0</v>
      </c>
      <c r="I17" s="149">
        <f t="shared" si="4"/>
        <v>0</v>
      </c>
      <c r="J17" s="149">
        <f t="shared" si="4"/>
        <v>0</v>
      </c>
      <c r="K17" s="149">
        <f t="shared" si="4"/>
        <v>0</v>
      </c>
      <c r="L17" s="149">
        <f t="shared" si="4"/>
        <v>0</v>
      </c>
      <c r="M17" s="149">
        <f t="shared" si="4"/>
        <v>0</v>
      </c>
      <c r="N17" s="149">
        <f t="shared" si="4"/>
        <v>0</v>
      </c>
      <c r="O17" s="149">
        <f t="shared" si="4"/>
        <v>0</v>
      </c>
      <c r="P17" s="149">
        <f t="shared" si="4"/>
        <v>0</v>
      </c>
      <c r="Q17" s="149">
        <f t="shared" si="4"/>
        <v>0</v>
      </c>
      <c r="R17" s="149">
        <f t="shared" si="4"/>
        <v>0</v>
      </c>
      <c r="S17" s="149"/>
      <c r="T17" s="2"/>
    </row>
    <row r="18" spans="1:20" s="3" customFormat="1" x14ac:dyDescent="0.35">
      <c r="A18" s="320"/>
      <c r="B18" s="82"/>
      <c r="C18" s="31"/>
      <c r="D18" s="31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</row>
    <row r="19" spans="1:20" x14ac:dyDescent="0.35">
      <c r="A19" s="403"/>
      <c r="B19" s="322" t="s">
        <v>0</v>
      </c>
      <c r="C19" s="12" t="s">
        <v>0</v>
      </c>
      <c r="D19" s="148"/>
      <c r="E19" s="149">
        <f>+E10-E17</f>
        <v>0</v>
      </c>
      <c r="F19" s="149">
        <f t="shared" ref="F19:R19" si="5">+F10-F17</f>
        <v>0</v>
      </c>
      <c r="G19" s="149">
        <f t="shared" si="5"/>
        <v>0</v>
      </c>
      <c r="H19" s="149">
        <f t="shared" si="5"/>
        <v>0</v>
      </c>
      <c r="I19" s="149">
        <f t="shared" si="5"/>
        <v>0</v>
      </c>
      <c r="J19" s="149">
        <f t="shared" si="5"/>
        <v>0</v>
      </c>
      <c r="K19" s="149">
        <f t="shared" si="5"/>
        <v>0</v>
      </c>
      <c r="L19" s="149">
        <f t="shared" si="5"/>
        <v>0</v>
      </c>
      <c r="M19" s="149">
        <f t="shared" si="5"/>
        <v>0</v>
      </c>
      <c r="N19" s="149">
        <f t="shared" si="5"/>
        <v>0</v>
      </c>
      <c r="O19" s="149">
        <f t="shared" si="5"/>
        <v>0</v>
      </c>
      <c r="P19" s="149">
        <f t="shared" si="5"/>
        <v>0</v>
      </c>
      <c r="Q19" s="149">
        <f t="shared" si="5"/>
        <v>0</v>
      </c>
      <c r="R19" s="149">
        <f t="shared" si="5"/>
        <v>0</v>
      </c>
      <c r="S19" s="149"/>
      <c r="T19" s="2"/>
    </row>
    <row r="20" spans="1:20" x14ac:dyDescent="0.35">
      <c r="A20" s="403"/>
      <c r="B20" s="313" t="s">
        <v>250</v>
      </c>
      <c r="C20" s="1" t="s">
        <v>90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2"/>
    </row>
    <row r="21" spans="1:20" x14ac:dyDescent="0.35">
      <c r="A21" s="403"/>
      <c r="B21" s="322" t="s">
        <v>1</v>
      </c>
      <c r="C21" s="12" t="s">
        <v>1</v>
      </c>
      <c r="D21" s="148"/>
      <c r="E21" s="149">
        <f>+E19-E20</f>
        <v>0</v>
      </c>
      <c r="F21" s="149">
        <f t="shared" ref="F21:R21" si="6">+F19-F20</f>
        <v>0</v>
      </c>
      <c r="G21" s="149">
        <f t="shared" si="6"/>
        <v>0</v>
      </c>
      <c r="H21" s="149">
        <f t="shared" si="6"/>
        <v>0</v>
      </c>
      <c r="I21" s="149">
        <f t="shared" si="6"/>
        <v>0</v>
      </c>
      <c r="J21" s="149">
        <f t="shared" si="6"/>
        <v>0</v>
      </c>
      <c r="K21" s="149">
        <f t="shared" si="6"/>
        <v>0</v>
      </c>
      <c r="L21" s="149">
        <f t="shared" si="6"/>
        <v>0</v>
      </c>
      <c r="M21" s="149">
        <f t="shared" si="6"/>
        <v>0</v>
      </c>
      <c r="N21" s="149">
        <f t="shared" si="6"/>
        <v>0</v>
      </c>
      <c r="O21" s="149">
        <f t="shared" si="6"/>
        <v>0</v>
      </c>
      <c r="P21" s="149">
        <f t="shared" si="6"/>
        <v>0</v>
      </c>
      <c r="Q21" s="149">
        <f t="shared" si="6"/>
        <v>0</v>
      </c>
      <c r="R21" s="149">
        <f t="shared" si="6"/>
        <v>0</v>
      </c>
      <c r="S21" s="149"/>
      <c r="T21" s="2"/>
    </row>
    <row r="22" spans="1:20" x14ac:dyDescent="0.35">
      <c r="A22" s="403"/>
      <c r="B22" s="313" t="s">
        <v>155</v>
      </c>
      <c r="C22" s="1" t="s">
        <v>98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2"/>
    </row>
    <row r="23" spans="1:20" x14ac:dyDescent="0.35">
      <c r="A23" s="403"/>
      <c r="B23" s="313" t="s">
        <v>156</v>
      </c>
      <c r="C23" s="1" t="s">
        <v>99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2"/>
    </row>
    <row r="24" spans="1:20" x14ac:dyDescent="0.35">
      <c r="A24" s="403"/>
      <c r="B24" s="322" t="s">
        <v>157</v>
      </c>
      <c r="C24" s="12" t="s">
        <v>88</v>
      </c>
      <c r="D24" s="148"/>
      <c r="E24" s="149">
        <f>+E21-E22-E23</f>
        <v>0</v>
      </c>
      <c r="F24" s="149">
        <f t="shared" ref="F24:R24" si="7">+F21-F22-F23</f>
        <v>0</v>
      </c>
      <c r="G24" s="149">
        <f t="shared" si="7"/>
        <v>0</v>
      </c>
      <c r="H24" s="149">
        <f t="shared" si="7"/>
        <v>0</v>
      </c>
      <c r="I24" s="149">
        <f t="shared" si="7"/>
        <v>0</v>
      </c>
      <c r="J24" s="149">
        <f t="shared" si="7"/>
        <v>0</v>
      </c>
      <c r="K24" s="149">
        <f t="shared" si="7"/>
        <v>0</v>
      </c>
      <c r="L24" s="149">
        <f t="shared" si="7"/>
        <v>0</v>
      </c>
      <c r="M24" s="149">
        <f t="shared" si="7"/>
        <v>0</v>
      </c>
      <c r="N24" s="149">
        <f t="shared" si="7"/>
        <v>0</v>
      </c>
      <c r="O24" s="149">
        <f t="shared" si="7"/>
        <v>0</v>
      </c>
      <c r="P24" s="149">
        <f t="shared" si="7"/>
        <v>0</v>
      </c>
      <c r="Q24" s="149">
        <f t="shared" si="7"/>
        <v>0</v>
      </c>
      <c r="R24" s="149">
        <f t="shared" si="7"/>
        <v>0</v>
      </c>
      <c r="S24" s="149"/>
      <c r="T24" s="2"/>
    </row>
    <row r="25" spans="1:20" s="3" customFormat="1" x14ac:dyDescent="0.35">
      <c r="A25" s="320"/>
      <c r="B25" s="82"/>
      <c r="C25" s="31"/>
      <c r="D25" s="31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</row>
    <row r="26" spans="1:20" x14ac:dyDescent="0.35">
      <c r="B26" s="311" t="s">
        <v>239</v>
      </c>
      <c r="C26" s="12" t="s">
        <v>86</v>
      </c>
      <c r="D26" s="222"/>
      <c r="E26" s="192" t="e">
        <f t="shared" ref="E26:R26" si="8">+E10/E17</f>
        <v>#DIV/0!</v>
      </c>
      <c r="F26" s="192" t="e">
        <f t="shared" si="8"/>
        <v>#DIV/0!</v>
      </c>
      <c r="G26" s="192" t="e">
        <f t="shared" si="8"/>
        <v>#DIV/0!</v>
      </c>
      <c r="H26" s="192" t="e">
        <f t="shared" si="8"/>
        <v>#DIV/0!</v>
      </c>
      <c r="I26" s="192" t="e">
        <f t="shared" si="8"/>
        <v>#DIV/0!</v>
      </c>
      <c r="J26" s="192" t="e">
        <f t="shared" si="8"/>
        <v>#DIV/0!</v>
      </c>
      <c r="K26" s="192" t="e">
        <f t="shared" si="8"/>
        <v>#DIV/0!</v>
      </c>
      <c r="L26" s="192" t="e">
        <f t="shared" si="8"/>
        <v>#DIV/0!</v>
      </c>
      <c r="M26" s="192" t="e">
        <f t="shared" si="8"/>
        <v>#DIV/0!</v>
      </c>
      <c r="N26" s="192" t="e">
        <f t="shared" si="8"/>
        <v>#DIV/0!</v>
      </c>
      <c r="O26" s="192" t="e">
        <f t="shared" si="8"/>
        <v>#DIV/0!</v>
      </c>
      <c r="P26" s="192" t="e">
        <f t="shared" si="8"/>
        <v>#DIV/0!</v>
      </c>
      <c r="Q26" s="192" t="e">
        <f t="shared" si="8"/>
        <v>#DIV/0!</v>
      </c>
      <c r="R26" s="192" t="e">
        <f t="shared" si="8"/>
        <v>#DIV/0!</v>
      </c>
      <c r="S26" s="192"/>
      <c r="T26" s="161"/>
    </row>
    <row r="27" spans="1:20" x14ac:dyDescent="0.35">
      <c r="B27" s="310" t="s">
        <v>154</v>
      </c>
      <c r="C27" s="1" t="s">
        <v>87</v>
      </c>
      <c r="D27" s="1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1"/>
    </row>
    <row r="28" spans="1:20" x14ac:dyDescent="0.35">
      <c r="B28" s="323" t="s">
        <v>251</v>
      </c>
      <c r="C28" s="324" t="s">
        <v>84</v>
      </c>
      <c r="D28" s="221"/>
      <c r="E28" s="220" t="e">
        <f>(E17)/('System Attributes and Operation'!E33*1000)</f>
        <v>#DIV/0!</v>
      </c>
      <c r="F28" s="220" t="e">
        <f>(F17)/('System Attributes and Operation'!F33*1000)</f>
        <v>#DIV/0!</v>
      </c>
      <c r="G28" s="220" t="e">
        <f>(G17)/('System Attributes and Operation'!G33*1000)</f>
        <v>#DIV/0!</v>
      </c>
      <c r="H28" s="220" t="e">
        <f>(H17)/('System Attributes and Operation'!H33*1000)</f>
        <v>#DIV/0!</v>
      </c>
      <c r="I28" s="220" t="e">
        <f>(I17)/('System Attributes and Operation'!I33*1000)</f>
        <v>#DIV/0!</v>
      </c>
      <c r="J28" s="220" t="e">
        <f>(J17)/('System Attributes and Operation'!J33*1000)</f>
        <v>#DIV/0!</v>
      </c>
      <c r="K28" s="220" t="e">
        <f>(K17)/('System Attributes and Operation'!K33*1000)</f>
        <v>#DIV/0!</v>
      </c>
      <c r="L28" s="220" t="e">
        <f>(L17)/('System Attributes and Operation'!L33*1000)</f>
        <v>#DIV/0!</v>
      </c>
      <c r="M28" s="220" t="e">
        <f>(M17)/('System Attributes and Operation'!M33*1000)</f>
        <v>#DIV/0!</v>
      </c>
      <c r="N28" s="220" t="e">
        <f>(N17)/('System Attributes and Operation'!N33*1000)</f>
        <v>#DIV/0!</v>
      </c>
      <c r="O28" s="220" t="e">
        <f>(O17)/('System Attributes and Operation'!O33*1000)</f>
        <v>#DIV/0!</v>
      </c>
      <c r="P28" s="220" t="e">
        <f>(P17*0.75)/('System Attributes and Operation'!P33*1000)</f>
        <v>#DIV/0!</v>
      </c>
      <c r="Q28" s="220" t="e">
        <f>(Q17*0.75)/('System Attributes and Operation'!Q33*1000)</f>
        <v>#DIV/0!</v>
      </c>
      <c r="R28" s="220" t="e">
        <f>(R17*0.75)/('System Attributes and Operation'!R33*1000)</f>
        <v>#DIV/0!</v>
      </c>
      <c r="S28" s="193"/>
      <c r="T28" s="2"/>
    </row>
    <row r="29" spans="1:20" x14ac:dyDescent="0.35">
      <c r="B29" s="325" t="s">
        <v>252</v>
      </c>
      <c r="C29" s="326" t="s">
        <v>103</v>
      </c>
      <c r="D29" s="226"/>
      <c r="E29" s="227" t="e">
        <f>+E10/('System Attributes and Operation'!E37*1000)</f>
        <v>#DIV/0!</v>
      </c>
      <c r="F29" s="227" t="e">
        <f>+F10/('System Attributes and Operation'!F37*1000)</f>
        <v>#DIV/0!</v>
      </c>
      <c r="G29" s="227" t="e">
        <f>+G10/('System Attributes and Operation'!G37*1000)</f>
        <v>#DIV/0!</v>
      </c>
      <c r="H29" s="227" t="e">
        <f>+H10/('System Attributes and Operation'!H37*1000)</f>
        <v>#DIV/0!</v>
      </c>
      <c r="I29" s="227" t="e">
        <f>+I10/('System Attributes and Operation'!I37*1000)</f>
        <v>#DIV/0!</v>
      </c>
      <c r="J29" s="227" t="e">
        <f>+J10/('System Attributes and Operation'!J37*1000)</f>
        <v>#DIV/0!</v>
      </c>
      <c r="K29" s="227" t="e">
        <f>+K10/('System Attributes and Operation'!K37*1000)</f>
        <v>#DIV/0!</v>
      </c>
      <c r="L29" s="227" t="e">
        <f>+L10/('System Attributes and Operation'!L37*1000)</f>
        <v>#DIV/0!</v>
      </c>
      <c r="M29" s="227" t="e">
        <f>+M10/('System Attributes and Operation'!M37*1000)</f>
        <v>#DIV/0!</v>
      </c>
      <c r="N29" s="227" t="e">
        <f>+N10/('System Attributes and Operation'!N37*1000)</f>
        <v>#DIV/0!</v>
      </c>
      <c r="O29" s="227" t="e">
        <f>+O10/('System Attributes and Operation'!O37*1000)</f>
        <v>#DIV/0!</v>
      </c>
      <c r="P29" s="227" t="e">
        <f>+P10/('System Attributes and Operation'!P37*1000)</f>
        <v>#DIV/0!</v>
      </c>
      <c r="Q29" s="227" t="e">
        <f>+Q10/('System Attributes and Operation'!Q37*1000)</f>
        <v>#DIV/0!</v>
      </c>
      <c r="R29" s="227" t="e">
        <f>+R10/('System Attributes and Operation'!R37*1000)</f>
        <v>#DIV/0!</v>
      </c>
      <c r="S29" s="227"/>
      <c r="T29" s="2"/>
    </row>
    <row r="30" spans="1:20" x14ac:dyDescent="0.35">
      <c r="B30" s="307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306"/>
      <c r="S30" s="253"/>
      <c r="T30" s="253"/>
    </row>
    <row r="36" spans="1:23" x14ac:dyDescent="0.35">
      <c r="D36" s="3"/>
      <c r="E36" s="150"/>
      <c r="F36" s="150"/>
      <c r="G36" s="150"/>
      <c r="H36" s="150"/>
      <c r="I36" s="151"/>
      <c r="J36" s="151"/>
      <c r="K36" s="151"/>
      <c r="L36" s="151"/>
      <c r="M36" s="151"/>
      <c r="N36" s="151"/>
      <c r="O36" s="151"/>
      <c r="P36" s="151"/>
      <c r="Q36" s="151"/>
      <c r="R36" s="152"/>
      <c r="S36" s="152"/>
    </row>
    <row r="37" spans="1:23" x14ac:dyDescent="0.35">
      <c r="D37" s="3"/>
      <c r="E37" s="150"/>
      <c r="F37" s="150"/>
      <c r="G37" s="150"/>
      <c r="H37" s="150"/>
      <c r="I37" s="151"/>
      <c r="J37" s="151"/>
      <c r="K37" s="151"/>
      <c r="L37" s="151"/>
      <c r="M37" s="151"/>
      <c r="N37" s="151"/>
      <c r="O37" s="151"/>
      <c r="P37" s="151"/>
      <c r="Q37" s="151"/>
      <c r="R37" s="152"/>
      <c r="S37" s="152"/>
    </row>
    <row r="38" spans="1:23" hidden="1" x14ac:dyDescent="0.35">
      <c r="B38" s="314" t="s">
        <v>91</v>
      </c>
      <c r="C38" s="73" t="s">
        <v>91</v>
      </c>
      <c r="D38" s="144"/>
      <c r="E38" s="146"/>
      <c r="F38" s="146"/>
      <c r="G38" s="146"/>
      <c r="H38" s="146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2"/>
    </row>
    <row r="39" spans="1:23" hidden="1" x14ac:dyDescent="0.35">
      <c r="B39" s="315" t="s">
        <v>92</v>
      </c>
      <c r="C39" s="91" t="s">
        <v>92</v>
      </c>
      <c r="D39" s="223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90"/>
      <c r="R39" s="90"/>
      <c r="S39" s="90"/>
      <c r="T39" s="2"/>
    </row>
    <row r="40" spans="1:23" hidden="1" x14ac:dyDescent="0.35">
      <c r="B40" s="316" t="s">
        <v>101</v>
      </c>
      <c r="C40" s="72" t="s">
        <v>101</v>
      </c>
      <c r="D40" s="89"/>
      <c r="E40" s="147"/>
      <c r="F40" s="147"/>
      <c r="G40" s="147"/>
      <c r="H40" s="147"/>
      <c r="I40" s="147"/>
      <c r="J40" s="147"/>
      <c r="K40" s="147"/>
      <c r="L40" s="147"/>
      <c r="M40" s="148"/>
      <c r="N40" s="148"/>
      <c r="O40" s="148"/>
      <c r="P40" s="147"/>
      <c r="Q40" s="88"/>
      <c r="R40" s="88"/>
      <c r="S40" s="88"/>
      <c r="T40" s="2"/>
    </row>
    <row r="41" spans="1:23" hidden="1" x14ac:dyDescent="0.35">
      <c r="B41" s="316" t="s">
        <v>102</v>
      </c>
      <c r="C41" s="72" t="s">
        <v>102</v>
      </c>
      <c r="D41" s="89"/>
      <c r="E41" s="147"/>
      <c r="F41" s="147"/>
      <c r="G41" s="147"/>
      <c r="H41" s="147"/>
      <c r="I41" s="147"/>
      <c r="J41" s="147"/>
      <c r="K41" s="147"/>
      <c r="L41" s="147"/>
      <c r="M41" s="147"/>
      <c r="N41" s="148"/>
      <c r="O41" s="147"/>
      <c r="P41" s="147"/>
      <c r="Q41" s="88"/>
      <c r="R41" s="88"/>
      <c r="S41" s="88"/>
      <c r="T41" s="2"/>
    </row>
    <row r="42" spans="1:23" hidden="1" x14ac:dyDescent="0.35">
      <c r="B42" s="315" t="s">
        <v>93</v>
      </c>
      <c r="C42" s="91" t="s">
        <v>93</v>
      </c>
      <c r="D42" s="223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90"/>
      <c r="R42" s="90"/>
      <c r="S42" s="90"/>
      <c r="T42" s="2"/>
    </row>
    <row r="43" spans="1:23" s="33" customFormat="1" hidden="1" x14ac:dyDescent="0.35">
      <c r="A43" s="321"/>
      <c r="B43" s="315" t="s">
        <v>94</v>
      </c>
      <c r="C43" s="91" t="s">
        <v>94</v>
      </c>
      <c r="D43" s="223"/>
      <c r="E43" s="156"/>
      <c r="F43" s="156"/>
      <c r="G43" s="156"/>
      <c r="H43" s="156"/>
      <c r="I43" s="156"/>
      <c r="J43" s="156"/>
      <c r="K43" s="156"/>
      <c r="L43" s="156"/>
      <c r="M43" s="157"/>
      <c r="N43" s="157"/>
      <c r="O43" s="157"/>
      <c r="P43" s="157"/>
      <c r="Q43" s="90"/>
      <c r="R43" s="90"/>
      <c r="S43" s="90"/>
      <c r="T43" s="121"/>
      <c r="W43" s="34"/>
    </row>
    <row r="44" spans="1:23" hidden="1" x14ac:dyDescent="0.35">
      <c r="B44" s="316" t="s">
        <v>100</v>
      </c>
      <c r="C44" s="72" t="s">
        <v>100</v>
      </c>
      <c r="D44" s="89"/>
      <c r="E44" s="15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99"/>
      <c r="R44" s="99"/>
      <c r="S44" s="99"/>
      <c r="T44" s="2"/>
    </row>
    <row r="45" spans="1:23" hidden="1" x14ac:dyDescent="0.35">
      <c r="B45" s="317" t="s">
        <v>235</v>
      </c>
      <c r="C45" s="72" t="s">
        <v>234</v>
      </c>
      <c r="D45" s="89"/>
      <c r="E45" s="15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99"/>
      <c r="R45" s="99"/>
      <c r="S45" s="99"/>
      <c r="T45" s="2"/>
    </row>
    <row r="46" spans="1:23" hidden="1" x14ac:dyDescent="0.35">
      <c r="B46" s="316" t="s">
        <v>83</v>
      </c>
      <c r="C46" s="72" t="s">
        <v>83</v>
      </c>
      <c r="D46" s="89"/>
      <c r="E46" s="147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99"/>
      <c r="R46" s="99"/>
      <c r="S46" s="99"/>
      <c r="T46" s="2"/>
    </row>
    <row r="47" spans="1:23" hidden="1" x14ac:dyDescent="0.35">
      <c r="B47" s="316" t="s">
        <v>105</v>
      </c>
      <c r="C47" s="72" t="s">
        <v>105</v>
      </c>
      <c r="D47" s="89"/>
      <c r="E47" s="15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99"/>
      <c r="R47" s="99"/>
      <c r="S47" s="99"/>
      <c r="T47" s="2"/>
    </row>
    <row r="48" spans="1:23" hidden="1" x14ac:dyDescent="0.35">
      <c r="B48" s="316" t="s">
        <v>104</v>
      </c>
      <c r="C48" s="72" t="s">
        <v>104</v>
      </c>
      <c r="D48" s="89"/>
      <c r="E48" s="15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9"/>
      <c r="Q48" s="99"/>
      <c r="R48" s="99"/>
      <c r="S48" s="99"/>
      <c r="T48" s="2"/>
    </row>
    <row r="49" spans="1:20" hidden="1" x14ac:dyDescent="0.35">
      <c r="B49" s="318" t="s">
        <v>95</v>
      </c>
      <c r="C49" s="84" t="s">
        <v>95</v>
      </c>
      <c r="D49" s="148"/>
      <c r="E49" s="149"/>
      <c r="F49" s="149"/>
      <c r="G49" s="149">
        <f t="shared" ref="G49:H49" si="9">SUM(G39:G48)</f>
        <v>0</v>
      </c>
      <c r="H49" s="149">
        <f t="shared" si="9"/>
        <v>0</v>
      </c>
      <c r="I49" s="149">
        <f t="shared" ref="I49:Q49" si="10">SUM(I39:I48)</f>
        <v>0</v>
      </c>
      <c r="J49" s="149">
        <f t="shared" si="10"/>
        <v>0</v>
      </c>
      <c r="K49" s="149">
        <f t="shared" si="10"/>
        <v>0</v>
      </c>
      <c r="L49" s="149">
        <f t="shared" si="10"/>
        <v>0</v>
      </c>
      <c r="M49" s="149">
        <f t="shared" si="10"/>
        <v>0</v>
      </c>
      <c r="N49" s="149">
        <f t="shared" si="10"/>
        <v>0</v>
      </c>
      <c r="O49" s="149">
        <f t="shared" si="10"/>
        <v>0</v>
      </c>
      <c r="P49" s="149">
        <f t="shared" si="10"/>
        <v>0</v>
      </c>
      <c r="Q49" s="159">
        <f t="shared" si="10"/>
        <v>0</v>
      </c>
      <c r="R49" s="159"/>
      <c r="S49" s="159"/>
      <c r="T49" s="2"/>
    </row>
    <row r="50" spans="1:20" s="3" customFormat="1" hidden="1" x14ac:dyDescent="0.35">
      <c r="A50" s="320"/>
      <c r="B50" s="52"/>
      <c r="C50" s="52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99"/>
      <c r="R50" s="99"/>
      <c r="S50" s="99"/>
      <c r="T50" s="1"/>
    </row>
    <row r="51" spans="1:20" hidden="1" x14ac:dyDescent="0.35">
      <c r="B51" s="318" t="s">
        <v>127</v>
      </c>
      <c r="C51" s="84" t="s">
        <v>127</v>
      </c>
      <c r="D51" s="99"/>
      <c r="E51" s="159"/>
      <c r="F51" s="159"/>
      <c r="G51" s="159">
        <f t="shared" ref="G51:H51" si="11">+G50+G49</f>
        <v>0</v>
      </c>
      <c r="H51" s="159">
        <f t="shared" si="11"/>
        <v>0</v>
      </c>
      <c r="I51" s="159">
        <f t="shared" ref="I51" si="12">+I50+I49</f>
        <v>0</v>
      </c>
      <c r="J51" s="159">
        <f t="shared" ref="J51" si="13">+J50+J49</f>
        <v>0</v>
      </c>
      <c r="K51" s="159">
        <f t="shared" ref="K51" si="14">+K50+K49</f>
        <v>0</v>
      </c>
      <c r="L51" s="159">
        <f t="shared" ref="L51" si="15">+L50+L49</f>
        <v>0</v>
      </c>
      <c r="M51" s="159">
        <f t="shared" ref="M51:P51" si="16">+M50+M49</f>
        <v>0</v>
      </c>
      <c r="N51" s="159">
        <f t="shared" si="16"/>
        <v>0</v>
      </c>
      <c r="O51" s="159">
        <f t="shared" si="16"/>
        <v>0</v>
      </c>
      <c r="P51" s="159">
        <f t="shared" si="16"/>
        <v>0</v>
      </c>
      <c r="Q51" s="159">
        <f>+Q50+Q49</f>
        <v>0</v>
      </c>
      <c r="R51" s="159"/>
      <c r="S51" s="159"/>
      <c r="T51" s="2"/>
    </row>
    <row r="52" spans="1:20" hidden="1" x14ac:dyDescent="0.35">
      <c r="B52"/>
      <c r="D52" s="3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2"/>
      <c r="S52" s="152"/>
      <c r="T52" s="2"/>
    </row>
    <row r="53" spans="1:20" hidden="1" x14ac:dyDescent="0.35">
      <c r="B53" s="319" t="s">
        <v>174</v>
      </c>
      <c r="C53" s="85" t="s">
        <v>173</v>
      </c>
      <c r="D53" s="22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49"/>
      <c r="P53" s="149">
        <f>+(P42+P43+P45+P48/2)*0.75</f>
        <v>0</v>
      </c>
      <c r="Q53" s="149">
        <f>+(Q42+Q43+Q39+Q47/5+Q48/5)*0.7</f>
        <v>0</v>
      </c>
      <c r="R53" s="149"/>
      <c r="S53" s="149"/>
      <c r="T53" s="2"/>
    </row>
    <row r="54" spans="1:20" hidden="1" x14ac:dyDescent="0.35">
      <c r="B54" s="319" t="s">
        <v>162</v>
      </c>
      <c r="C54" s="85" t="s">
        <v>96</v>
      </c>
      <c r="D54" s="224"/>
      <c r="E54" s="194"/>
      <c r="F54" s="194"/>
      <c r="G54" s="194" t="e">
        <f t="shared" ref="G54:N54" si="17">+G28*$P$56</f>
        <v>#DIV/0!</v>
      </c>
      <c r="H54" s="194" t="e">
        <f t="shared" si="17"/>
        <v>#DIV/0!</v>
      </c>
      <c r="I54" s="194" t="e">
        <f t="shared" si="17"/>
        <v>#DIV/0!</v>
      </c>
      <c r="J54" s="194" t="e">
        <f t="shared" si="17"/>
        <v>#DIV/0!</v>
      </c>
      <c r="K54" s="194" t="e">
        <f t="shared" si="17"/>
        <v>#DIV/0!</v>
      </c>
      <c r="L54" s="194" t="e">
        <f t="shared" si="17"/>
        <v>#DIV/0!</v>
      </c>
      <c r="M54" s="194" t="e">
        <f t="shared" si="17"/>
        <v>#DIV/0!</v>
      </c>
      <c r="N54" s="194" t="e">
        <f t="shared" si="17"/>
        <v>#DIV/0!</v>
      </c>
      <c r="O54" s="194" t="e">
        <f>+O28*$P$56</f>
        <v>#DIV/0!</v>
      </c>
      <c r="P54" s="196" t="e">
        <f>+P53/('System Attributes and Operation'!P33*1000)</f>
        <v>#DIV/0!</v>
      </c>
      <c r="Q54" s="196" t="e">
        <f>+Q53/('System Attributes and Operation'!Q33*1000)</f>
        <v>#DIV/0!</v>
      </c>
      <c r="R54" s="176"/>
      <c r="S54" s="176"/>
      <c r="T54" s="2"/>
    </row>
    <row r="55" spans="1:20" hidden="1" x14ac:dyDescent="0.35">
      <c r="D55" s="150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2"/>
      <c r="S55" s="152"/>
    </row>
    <row r="56" spans="1:20" hidden="1" x14ac:dyDescent="0.35">
      <c r="D56" s="225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95" t="e">
        <f>+P54/P28</f>
        <v>#DIV/0!</v>
      </c>
      <c r="Q56" s="160"/>
      <c r="R56" s="160"/>
      <c r="S56" s="160"/>
    </row>
    <row r="57" spans="1:20" x14ac:dyDescent="0.35">
      <c r="N57" s="3"/>
      <c r="O57" s="3"/>
      <c r="P57" s="3"/>
    </row>
    <row r="58" spans="1:20" x14ac:dyDescent="0.35">
      <c r="N58" s="3"/>
      <c r="O58" s="3"/>
      <c r="P58" s="3"/>
    </row>
    <row r="59" spans="1:20" x14ac:dyDescent="0.35">
      <c r="N59" s="3"/>
      <c r="O59" s="3"/>
      <c r="P59" s="3"/>
    </row>
    <row r="60" spans="1:20" x14ac:dyDescent="0.35">
      <c r="N60" s="3"/>
      <c r="O60" s="3"/>
      <c r="P60" s="3"/>
    </row>
    <row r="61" spans="1:20" x14ac:dyDescent="0.35">
      <c r="N61" s="3"/>
      <c r="O61" s="3"/>
      <c r="P61" s="3"/>
    </row>
  </sheetData>
  <mergeCells count="2">
    <mergeCell ref="A19:A24"/>
    <mergeCell ref="E1:I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T48"/>
  <sheetViews>
    <sheetView zoomScale="80" zoomScaleNormal="80" workbookViewId="0">
      <pane xSplit="3" ySplit="1" topLeftCell="D2" activePane="bottomRight" state="frozen"/>
      <selection pane="topRight" activeCell="F1" sqref="F1"/>
      <selection pane="bottomLeft" activeCell="A2" sqref="A2"/>
      <selection pane="bottomRight" activeCell="C14" sqref="C14"/>
    </sheetView>
  </sheetViews>
  <sheetFormatPr defaultColWidth="8.81640625" defaultRowHeight="14.5" x14ac:dyDescent="0.35"/>
  <cols>
    <col min="1" max="1" width="5.6328125" customWidth="1"/>
    <col min="2" max="2" width="12" customWidth="1"/>
    <col min="3" max="3" width="56.453125" customWidth="1"/>
    <col min="4" max="8" width="12.36328125" style="3" customWidth="1"/>
    <col min="9" max="12" width="12.36328125" customWidth="1"/>
    <col min="13" max="19" width="12.81640625" style="8" customWidth="1"/>
    <col min="20" max="20" width="44.81640625" customWidth="1"/>
  </cols>
  <sheetData>
    <row r="1" spans="1:20" s="384" customFormat="1" ht="35" customHeight="1" x14ac:dyDescent="0.5">
      <c r="A1" s="380"/>
      <c r="B1" s="385" t="s">
        <v>9</v>
      </c>
      <c r="C1" s="381"/>
      <c r="D1" s="382"/>
      <c r="E1" s="382"/>
      <c r="F1" s="382"/>
      <c r="G1" s="382"/>
      <c r="H1" s="382"/>
      <c r="I1" s="382"/>
      <c r="J1" s="382"/>
      <c r="K1" s="382"/>
      <c r="L1" s="382"/>
      <c r="M1" s="383"/>
      <c r="N1" s="383"/>
      <c r="O1" s="383"/>
      <c r="P1" s="383"/>
      <c r="Q1" s="383"/>
      <c r="R1" s="383"/>
      <c r="S1" s="383"/>
      <c r="T1" s="382"/>
    </row>
    <row r="2" spans="1:20" s="3" customFormat="1" ht="20.25" customHeight="1" x14ac:dyDescent="0.45">
      <c r="A2" s="122"/>
      <c r="B2" s="122"/>
      <c r="C2" s="332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5"/>
    </row>
    <row r="3" spans="1:20" ht="20.25" customHeight="1" x14ac:dyDescent="0.45">
      <c r="A3" s="233"/>
      <c r="B3" s="233"/>
      <c r="C3" s="234"/>
      <c r="D3" s="128">
        <f>+Summary!D3</f>
        <v>2000</v>
      </c>
      <c r="E3" s="128">
        <f>+Summary!E3</f>
        <v>2001</v>
      </c>
      <c r="F3" s="128">
        <f>+Summary!F3</f>
        <v>2002</v>
      </c>
      <c r="G3" s="128">
        <f>+Summary!G3</f>
        <v>2003</v>
      </c>
      <c r="H3" s="128">
        <f>+Summary!H3</f>
        <v>2004</v>
      </c>
      <c r="I3" s="128">
        <f>+Summary!I3</f>
        <v>2005</v>
      </c>
      <c r="J3" s="128">
        <f>+Summary!J3</f>
        <v>2006</v>
      </c>
      <c r="K3" s="128">
        <f>+Summary!K3</f>
        <v>2007</v>
      </c>
      <c r="L3" s="128">
        <f>+Summary!L3</f>
        <v>2008</v>
      </c>
      <c r="M3" s="128">
        <f>+Summary!M3</f>
        <v>2009</v>
      </c>
      <c r="N3" s="128">
        <f>+Summary!N3</f>
        <v>2010</v>
      </c>
      <c r="O3" s="128">
        <f>+Summary!O3</f>
        <v>2011</v>
      </c>
      <c r="P3" s="128">
        <f>+Summary!P3</f>
        <v>2012</v>
      </c>
      <c r="Q3" s="128">
        <f>+Summary!Q3</f>
        <v>2013</v>
      </c>
      <c r="R3" s="334">
        <f>+Summary!R3</f>
        <v>2014</v>
      </c>
      <c r="S3" s="128">
        <f>+Summary!S3</f>
        <v>2015</v>
      </c>
      <c r="T3" s="336" t="s">
        <v>253</v>
      </c>
    </row>
    <row r="4" spans="1:20" ht="20" customHeight="1" x14ac:dyDescent="0.45">
      <c r="B4" s="413" t="s">
        <v>31</v>
      </c>
      <c r="C4" s="338" t="s">
        <v>46</v>
      </c>
      <c r="D4" s="339"/>
      <c r="E4" s="339">
        <f>+'System Attributes and Operation'!E33</f>
        <v>0</v>
      </c>
      <c r="F4" s="339">
        <f>+'System Attributes and Operation'!F33</f>
        <v>0</v>
      </c>
      <c r="G4" s="339">
        <f>+'System Attributes and Operation'!G33</f>
        <v>0</v>
      </c>
      <c r="H4" s="339">
        <f>+'System Attributes and Operation'!H33</f>
        <v>0</v>
      </c>
      <c r="I4" s="339">
        <f>+'System Attributes and Operation'!I33</f>
        <v>0</v>
      </c>
      <c r="J4" s="339">
        <f>+'System Attributes and Operation'!J33</f>
        <v>0</v>
      </c>
      <c r="K4" s="339">
        <f>+'System Attributes and Operation'!K33</f>
        <v>0</v>
      </c>
      <c r="L4" s="339">
        <f>+'System Attributes and Operation'!L33</f>
        <v>0</v>
      </c>
      <c r="M4" s="339">
        <f>+'System Attributes and Operation'!M33</f>
        <v>0</v>
      </c>
      <c r="N4" s="339">
        <f>+'System Attributes and Operation'!N33</f>
        <v>0</v>
      </c>
      <c r="O4" s="339">
        <f>+'System Attributes and Operation'!O33</f>
        <v>0</v>
      </c>
      <c r="P4" s="339">
        <f>+'System Attributes and Operation'!P33</f>
        <v>0</v>
      </c>
      <c r="Q4" s="339">
        <f>+'System Attributes and Operation'!Q33</f>
        <v>0</v>
      </c>
      <c r="R4" s="340">
        <f>+'System Attributes and Operation'!R33</f>
        <v>0</v>
      </c>
      <c r="S4" s="339"/>
      <c r="T4" s="2"/>
    </row>
    <row r="5" spans="1:20" ht="20" customHeight="1" x14ac:dyDescent="0.45">
      <c r="B5" s="414"/>
      <c r="C5" s="338" t="s">
        <v>47</v>
      </c>
      <c r="D5" s="339"/>
      <c r="E5" s="339">
        <v>0</v>
      </c>
      <c r="F5" s="339">
        <v>0</v>
      </c>
      <c r="G5" s="339">
        <v>0</v>
      </c>
      <c r="H5" s="339">
        <v>0</v>
      </c>
      <c r="I5" s="339">
        <v>0</v>
      </c>
      <c r="J5" s="339">
        <v>0</v>
      </c>
      <c r="K5" s="339">
        <v>0</v>
      </c>
      <c r="L5" s="339">
        <v>0</v>
      </c>
      <c r="M5" s="339">
        <v>0</v>
      </c>
      <c r="N5" s="339">
        <v>0</v>
      </c>
      <c r="O5" s="339">
        <v>0</v>
      </c>
      <c r="P5" s="339">
        <v>0</v>
      </c>
      <c r="Q5" s="339">
        <v>0</v>
      </c>
      <c r="R5" s="340">
        <v>0</v>
      </c>
      <c r="S5" s="339"/>
      <c r="T5" s="2"/>
    </row>
    <row r="6" spans="1:20" ht="20" customHeight="1" x14ac:dyDescent="0.45">
      <c r="B6" s="415"/>
      <c r="C6" s="377" t="s">
        <v>48</v>
      </c>
      <c r="D6" s="339"/>
      <c r="E6" s="339">
        <f t="shared" ref="E6:L6" si="0">+E5+E4</f>
        <v>0</v>
      </c>
      <c r="F6" s="339">
        <f t="shared" si="0"/>
        <v>0</v>
      </c>
      <c r="G6" s="339">
        <f t="shared" si="0"/>
        <v>0</v>
      </c>
      <c r="H6" s="339">
        <f t="shared" si="0"/>
        <v>0</v>
      </c>
      <c r="I6" s="339">
        <f t="shared" si="0"/>
        <v>0</v>
      </c>
      <c r="J6" s="339">
        <f t="shared" si="0"/>
        <v>0</v>
      </c>
      <c r="K6" s="339">
        <f t="shared" si="0"/>
        <v>0</v>
      </c>
      <c r="L6" s="339">
        <f t="shared" si="0"/>
        <v>0</v>
      </c>
      <c r="M6" s="339">
        <f t="shared" ref="M6:N6" si="1">+M5+M4</f>
        <v>0</v>
      </c>
      <c r="N6" s="339">
        <f t="shared" si="1"/>
        <v>0</v>
      </c>
      <c r="O6" s="339">
        <f t="shared" ref="O6:R6" si="2">+O5+O4</f>
        <v>0</v>
      </c>
      <c r="P6" s="339">
        <f t="shared" si="2"/>
        <v>0</v>
      </c>
      <c r="Q6" s="339">
        <f t="shared" si="2"/>
        <v>0</v>
      </c>
      <c r="R6" s="340">
        <f t="shared" si="2"/>
        <v>0</v>
      </c>
      <c r="S6" s="339"/>
      <c r="T6" s="2"/>
    </row>
    <row r="7" spans="1:20" ht="20" customHeight="1" x14ac:dyDescent="0.45">
      <c r="B7" s="416" t="s">
        <v>32</v>
      </c>
      <c r="C7" s="341" t="s">
        <v>49</v>
      </c>
      <c r="D7" s="339"/>
      <c r="E7" s="339">
        <v>0</v>
      </c>
      <c r="F7" s="339">
        <v>0</v>
      </c>
      <c r="G7" s="339">
        <v>0</v>
      </c>
      <c r="H7" s="339">
        <v>0</v>
      </c>
      <c r="I7" s="339">
        <v>0</v>
      </c>
      <c r="J7" s="339">
        <v>0</v>
      </c>
      <c r="K7" s="339">
        <v>0</v>
      </c>
      <c r="L7" s="339">
        <v>0</v>
      </c>
      <c r="M7" s="339">
        <v>0</v>
      </c>
      <c r="N7" s="339">
        <v>0</v>
      </c>
      <c r="O7" s="339">
        <v>0</v>
      </c>
      <c r="P7" s="339">
        <v>0</v>
      </c>
      <c r="Q7" s="339">
        <v>0</v>
      </c>
      <c r="R7" s="340">
        <v>0</v>
      </c>
      <c r="S7" s="339"/>
      <c r="T7" s="2"/>
    </row>
    <row r="8" spans="1:20" ht="20" customHeight="1" x14ac:dyDescent="0.45">
      <c r="B8" s="416"/>
      <c r="C8" s="341" t="s">
        <v>50</v>
      </c>
      <c r="D8" s="339"/>
      <c r="E8" s="339">
        <f>+'System Attributes and Operation'!E37</f>
        <v>0</v>
      </c>
      <c r="F8" s="339">
        <f>+'System Attributes and Operation'!F37</f>
        <v>0</v>
      </c>
      <c r="G8" s="339">
        <f>+'System Attributes and Operation'!G37</f>
        <v>0</v>
      </c>
      <c r="H8" s="339">
        <f>+'System Attributes and Operation'!H37</f>
        <v>0</v>
      </c>
      <c r="I8" s="339">
        <f>+'System Attributes and Operation'!I37</f>
        <v>0</v>
      </c>
      <c r="J8" s="339">
        <f>+'System Attributes and Operation'!J37</f>
        <v>0</v>
      </c>
      <c r="K8" s="339">
        <f>+'System Attributes and Operation'!K37</f>
        <v>0</v>
      </c>
      <c r="L8" s="339">
        <f>+'System Attributes and Operation'!L37</f>
        <v>0</v>
      </c>
      <c r="M8" s="339">
        <f>+'System Attributes and Operation'!M37</f>
        <v>0</v>
      </c>
      <c r="N8" s="339">
        <f>+'System Attributes and Operation'!N37</f>
        <v>0</v>
      </c>
      <c r="O8" s="339">
        <f>+'System Attributes and Operation'!O37</f>
        <v>0</v>
      </c>
      <c r="P8" s="339">
        <f>+'System Attributes and Operation'!P37</f>
        <v>0</v>
      </c>
      <c r="Q8" s="339">
        <f>+'System Attributes and Operation'!Q37</f>
        <v>0</v>
      </c>
      <c r="R8" s="340">
        <f>+'System Attributes and Operation'!R37</f>
        <v>0</v>
      </c>
      <c r="S8" s="339"/>
      <c r="T8" s="2"/>
    </row>
    <row r="9" spans="1:20" ht="20" customHeight="1" x14ac:dyDescent="0.45">
      <c r="B9" s="416"/>
      <c r="C9" s="347" t="s">
        <v>51</v>
      </c>
      <c r="D9" s="339"/>
      <c r="E9" s="339">
        <f t="shared" ref="E9:L9" si="3">+E8+E7</f>
        <v>0</v>
      </c>
      <c r="F9" s="339">
        <f t="shared" si="3"/>
        <v>0</v>
      </c>
      <c r="G9" s="339">
        <f t="shared" si="3"/>
        <v>0</v>
      </c>
      <c r="H9" s="339">
        <f t="shared" si="3"/>
        <v>0</v>
      </c>
      <c r="I9" s="339">
        <f t="shared" si="3"/>
        <v>0</v>
      </c>
      <c r="J9" s="339">
        <f t="shared" si="3"/>
        <v>0</v>
      </c>
      <c r="K9" s="339">
        <f t="shared" si="3"/>
        <v>0</v>
      </c>
      <c r="L9" s="339">
        <f t="shared" si="3"/>
        <v>0</v>
      </c>
      <c r="M9" s="339">
        <f t="shared" ref="M9:N9" si="4">+M8+M7</f>
        <v>0</v>
      </c>
      <c r="N9" s="339">
        <f t="shared" si="4"/>
        <v>0</v>
      </c>
      <c r="O9" s="339">
        <f t="shared" ref="O9:Q9" si="5">+O8+O7</f>
        <v>0</v>
      </c>
      <c r="P9" s="339">
        <f t="shared" si="5"/>
        <v>0</v>
      </c>
      <c r="Q9" s="339">
        <f t="shared" si="5"/>
        <v>0</v>
      </c>
      <c r="R9" s="340">
        <f t="shared" ref="R9" si="6">+R8+R7</f>
        <v>0</v>
      </c>
      <c r="S9" s="339"/>
      <c r="T9" s="2"/>
    </row>
    <row r="10" spans="1:20" ht="20" customHeight="1" x14ac:dyDescent="0.45">
      <c r="B10" s="416"/>
      <c r="C10" s="341" t="s">
        <v>129</v>
      </c>
      <c r="D10" s="339"/>
      <c r="E10" s="339">
        <f t="shared" ref="E10:L10" si="7">+E45*E8</f>
        <v>0</v>
      </c>
      <c r="F10" s="339">
        <f t="shared" si="7"/>
        <v>0</v>
      </c>
      <c r="G10" s="339">
        <f t="shared" si="7"/>
        <v>0</v>
      </c>
      <c r="H10" s="339">
        <f t="shared" si="7"/>
        <v>0</v>
      </c>
      <c r="I10" s="339">
        <f t="shared" si="7"/>
        <v>0</v>
      </c>
      <c r="J10" s="339">
        <f t="shared" si="7"/>
        <v>0</v>
      </c>
      <c r="K10" s="339">
        <f t="shared" si="7"/>
        <v>0</v>
      </c>
      <c r="L10" s="339">
        <f t="shared" si="7"/>
        <v>0</v>
      </c>
      <c r="M10" s="339">
        <f>+M45*M8</f>
        <v>0</v>
      </c>
      <c r="N10" s="339">
        <f t="shared" ref="N10:R10" si="8">+N45*N8</f>
        <v>0</v>
      </c>
      <c r="O10" s="339">
        <f t="shared" si="8"/>
        <v>0</v>
      </c>
      <c r="P10" s="339">
        <f t="shared" si="8"/>
        <v>0</v>
      </c>
      <c r="Q10" s="339">
        <f t="shared" si="8"/>
        <v>0</v>
      </c>
      <c r="R10" s="340">
        <f t="shared" si="8"/>
        <v>0</v>
      </c>
      <c r="S10" s="339"/>
      <c r="T10" s="2"/>
    </row>
    <row r="11" spans="1:20" ht="20" customHeight="1" x14ac:dyDescent="0.45">
      <c r="B11" s="417" t="s">
        <v>33</v>
      </c>
      <c r="C11" s="374" t="s">
        <v>42</v>
      </c>
      <c r="D11" s="339"/>
      <c r="E11" s="339">
        <f t="shared" ref="E11:L11" si="9">+E6-E9</f>
        <v>0</v>
      </c>
      <c r="F11" s="339">
        <f t="shared" si="9"/>
        <v>0</v>
      </c>
      <c r="G11" s="339">
        <f t="shared" si="9"/>
        <v>0</v>
      </c>
      <c r="H11" s="339">
        <f t="shared" si="9"/>
        <v>0</v>
      </c>
      <c r="I11" s="339">
        <f t="shared" si="9"/>
        <v>0</v>
      </c>
      <c r="J11" s="339">
        <f t="shared" si="9"/>
        <v>0</v>
      </c>
      <c r="K11" s="339">
        <f t="shared" si="9"/>
        <v>0</v>
      </c>
      <c r="L11" s="339">
        <f t="shared" si="9"/>
        <v>0</v>
      </c>
      <c r="M11" s="339">
        <f>+M6-M9</f>
        <v>0</v>
      </c>
      <c r="N11" s="339">
        <f t="shared" ref="N11" si="10">+N6-N9</f>
        <v>0</v>
      </c>
      <c r="O11" s="339">
        <f t="shared" ref="O11:Q11" si="11">+O6-O9</f>
        <v>0</v>
      </c>
      <c r="P11" s="339">
        <f t="shared" si="11"/>
        <v>0</v>
      </c>
      <c r="Q11" s="339">
        <f t="shared" si="11"/>
        <v>0</v>
      </c>
      <c r="R11" s="340">
        <f t="shared" ref="R11" si="12">+R6-R9</f>
        <v>0</v>
      </c>
      <c r="S11" s="339"/>
      <c r="T11" s="2"/>
    </row>
    <row r="12" spans="1:20" ht="20" customHeight="1" x14ac:dyDescent="0.45">
      <c r="B12" s="418"/>
      <c r="C12" s="374" t="s">
        <v>128</v>
      </c>
      <c r="D12" s="342"/>
      <c r="E12" s="342" t="e">
        <f t="shared" ref="E12:L12" si="13">+E11/E4</f>
        <v>#DIV/0!</v>
      </c>
      <c r="F12" s="342" t="e">
        <f t="shared" si="13"/>
        <v>#DIV/0!</v>
      </c>
      <c r="G12" s="342" t="e">
        <f t="shared" si="13"/>
        <v>#DIV/0!</v>
      </c>
      <c r="H12" s="342" t="e">
        <f t="shared" si="13"/>
        <v>#DIV/0!</v>
      </c>
      <c r="I12" s="342" t="e">
        <f t="shared" si="13"/>
        <v>#DIV/0!</v>
      </c>
      <c r="J12" s="342" t="e">
        <f t="shared" si="13"/>
        <v>#DIV/0!</v>
      </c>
      <c r="K12" s="342" t="e">
        <f t="shared" si="13"/>
        <v>#DIV/0!</v>
      </c>
      <c r="L12" s="342" t="e">
        <f t="shared" si="13"/>
        <v>#DIV/0!</v>
      </c>
      <c r="M12" s="342" t="e">
        <f>+M11/M4</f>
        <v>#DIV/0!</v>
      </c>
      <c r="N12" s="342" t="e">
        <f t="shared" ref="N12:R12" si="14">+N11/N4</f>
        <v>#DIV/0!</v>
      </c>
      <c r="O12" s="342" t="e">
        <f t="shared" si="14"/>
        <v>#DIV/0!</v>
      </c>
      <c r="P12" s="342" t="e">
        <f t="shared" si="14"/>
        <v>#DIV/0!</v>
      </c>
      <c r="Q12" s="342" t="e">
        <f t="shared" si="14"/>
        <v>#DIV/0!</v>
      </c>
      <c r="R12" s="343" t="e">
        <f t="shared" si="14"/>
        <v>#DIV/0!</v>
      </c>
      <c r="S12" s="344"/>
      <c r="T12" s="2"/>
    </row>
    <row r="13" spans="1:20" ht="20" customHeight="1" x14ac:dyDescent="0.45">
      <c r="B13" s="418"/>
      <c r="C13" s="356" t="s">
        <v>53</v>
      </c>
      <c r="D13" s="339"/>
      <c r="E13" s="339">
        <f t="shared" ref="E13:L13" si="15">+E11-E10</f>
        <v>0</v>
      </c>
      <c r="F13" s="339">
        <f t="shared" si="15"/>
        <v>0</v>
      </c>
      <c r="G13" s="339">
        <f t="shared" si="15"/>
        <v>0</v>
      </c>
      <c r="H13" s="339">
        <f t="shared" si="15"/>
        <v>0</v>
      </c>
      <c r="I13" s="339">
        <f t="shared" si="15"/>
        <v>0</v>
      </c>
      <c r="J13" s="339">
        <f t="shared" si="15"/>
        <v>0</v>
      </c>
      <c r="K13" s="339">
        <f t="shared" si="15"/>
        <v>0</v>
      </c>
      <c r="L13" s="339">
        <f t="shared" si="15"/>
        <v>0</v>
      </c>
      <c r="M13" s="339">
        <f>+M11-M10</f>
        <v>0</v>
      </c>
      <c r="N13" s="339">
        <f t="shared" ref="N13" si="16">+N11-N10</f>
        <v>0</v>
      </c>
      <c r="O13" s="339">
        <f t="shared" ref="O13:Q13" si="17">+O11-O10</f>
        <v>0</v>
      </c>
      <c r="P13" s="339">
        <f t="shared" si="17"/>
        <v>0</v>
      </c>
      <c r="Q13" s="339">
        <f t="shared" si="17"/>
        <v>0</v>
      </c>
      <c r="R13" s="340">
        <f t="shared" ref="R13" si="18">+R11-R10</f>
        <v>0</v>
      </c>
      <c r="S13" s="339"/>
      <c r="T13" s="2"/>
    </row>
    <row r="14" spans="1:20" ht="20" customHeight="1" x14ac:dyDescent="0.45">
      <c r="B14" s="418"/>
      <c r="C14" s="375" t="s">
        <v>54</v>
      </c>
      <c r="D14" s="339"/>
      <c r="E14" s="339">
        <f t="shared" ref="E14:L14" si="19">+SUM(E40:E43)*E9</f>
        <v>0</v>
      </c>
      <c r="F14" s="339">
        <f t="shared" si="19"/>
        <v>0</v>
      </c>
      <c r="G14" s="339">
        <f t="shared" si="19"/>
        <v>0</v>
      </c>
      <c r="H14" s="339">
        <f t="shared" si="19"/>
        <v>0</v>
      </c>
      <c r="I14" s="339">
        <f t="shared" si="19"/>
        <v>0</v>
      </c>
      <c r="J14" s="339">
        <f t="shared" si="19"/>
        <v>0</v>
      </c>
      <c r="K14" s="339">
        <f t="shared" si="19"/>
        <v>0</v>
      </c>
      <c r="L14" s="339">
        <f t="shared" si="19"/>
        <v>0</v>
      </c>
      <c r="M14" s="339">
        <f t="shared" ref="M14:R14" si="20">+SUM(M40:M43)*M9</f>
        <v>0</v>
      </c>
      <c r="N14" s="339">
        <f t="shared" si="20"/>
        <v>0</v>
      </c>
      <c r="O14" s="339">
        <f t="shared" si="20"/>
        <v>0</v>
      </c>
      <c r="P14" s="339">
        <f t="shared" si="20"/>
        <v>0</v>
      </c>
      <c r="Q14" s="339">
        <f t="shared" si="20"/>
        <v>0</v>
      </c>
      <c r="R14" s="340">
        <f t="shared" si="20"/>
        <v>0</v>
      </c>
      <c r="S14" s="339"/>
      <c r="T14" s="2"/>
    </row>
    <row r="15" spans="1:20" ht="20" customHeight="1" x14ac:dyDescent="0.45">
      <c r="B15" s="419"/>
      <c r="C15" s="376" t="s">
        <v>55</v>
      </c>
      <c r="D15" s="339"/>
      <c r="E15" s="339">
        <f t="shared" ref="E15:L15" si="21">+E13-E14</f>
        <v>0</v>
      </c>
      <c r="F15" s="339">
        <f t="shared" si="21"/>
        <v>0</v>
      </c>
      <c r="G15" s="339">
        <f t="shared" si="21"/>
        <v>0</v>
      </c>
      <c r="H15" s="339">
        <f t="shared" si="21"/>
        <v>0</v>
      </c>
      <c r="I15" s="339">
        <f t="shared" si="21"/>
        <v>0</v>
      </c>
      <c r="J15" s="339">
        <f t="shared" si="21"/>
        <v>0</v>
      </c>
      <c r="K15" s="339">
        <f t="shared" si="21"/>
        <v>0</v>
      </c>
      <c r="L15" s="339">
        <f t="shared" si="21"/>
        <v>0</v>
      </c>
      <c r="M15" s="339">
        <f>+M13-M14</f>
        <v>0</v>
      </c>
      <c r="N15" s="339">
        <f>+N13-N14</f>
        <v>0</v>
      </c>
      <c r="O15" s="339">
        <f t="shared" ref="O15:Q15" si="22">+O13-O14</f>
        <v>0</v>
      </c>
      <c r="P15" s="339">
        <f t="shared" si="22"/>
        <v>0</v>
      </c>
      <c r="Q15" s="339">
        <f t="shared" si="22"/>
        <v>0</v>
      </c>
      <c r="R15" s="340">
        <f t="shared" ref="R15" si="23">+R13-R14</f>
        <v>0</v>
      </c>
      <c r="S15" s="339"/>
      <c r="T15" s="2"/>
    </row>
    <row r="16" spans="1:20" s="3" customFormat="1" ht="20" customHeight="1" x14ac:dyDescent="0.45">
      <c r="C16" s="345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39"/>
      <c r="T16" s="1"/>
    </row>
    <row r="17" spans="2:20" s="3" customFormat="1" ht="20" customHeight="1" x14ac:dyDescent="0.45">
      <c r="B17" s="416" t="s">
        <v>41</v>
      </c>
      <c r="C17" s="347" t="s">
        <v>37</v>
      </c>
      <c r="D17" s="339"/>
      <c r="E17" s="339" t="e">
        <f>+E9*1000000/(365*'System Attributes and Operation'!E14)</f>
        <v>#DIV/0!</v>
      </c>
      <c r="F17" s="339" t="e">
        <f>+F9*1000000/(365*'System Attributes and Operation'!F14)</f>
        <v>#DIV/0!</v>
      </c>
      <c r="G17" s="339" t="e">
        <f>+G9*1000000/(365*'System Attributes and Operation'!G14)</f>
        <v>#DIV/0!</v>
      </c>
      <c r="H17" s="339" t="e">
        <f>+H9*1000000/(365*'System Attributes and Operation'!H14)</f>
        <v>#DIV/0!</v>
      </c>
      <c r="I17" s="339" t="e">
        <f>+I9*1000000/(365*'System Attributes and Operation'!I14)</f>
        <v>#DIV/0!</v>
      </c>
      <c r="J17" s="339" t="e">
        <f>+J9*1000000/(365*'System Attributes and Operation'!J14)</f>
        <v>#DIV/0!</v>
      </c>
      <c r="K17" s="339" t="e">
        <f>+K9*1000000/(365*'System Attributes and Operation'!K14)</f>
        <v>#DIV/0!</v>
      </c>
      <c r="L17" s="339" t="e">
        <f>+L9*1000000/(365*'System Attributes and Operation'!L14)</f>
        <v>#DIV/0!</v>
      </c>
      <c r="M17" s="339" t="e">
        <f>+M9*1000000/(365*'System Attributes and Operation'!M14)</f>
        <v>#DIV/0!</v>
      </c>
      <c r="N17" s="339" t="e">
        <f>+N9*1000000/(365*'System Attributes and Operation'!N14)</f>
        <v>#DIV/0!</v>
      </c>
      <c r="O17" s="339" t="e">
        <f>+O9*1000000/(365*'System Attributes and Operation'!O14)</f>
        <v>#DIV/0!</v>
      </c>
      <c r="P17" s="339" t="e">
        <f>+P9*1000000/(365*'System Attributes and Operation'!P14)</f>
        <v>#DIV/0!</v>
      </c>
      <c r="Q17" s="339" t="e">
        <f>+Q9*1000000/(365*'System Attributes and Operation'!Q14)</f>
        <v>#DIV/0!</v>
      </c>
      <c r="R17" s="340" t="e">
        <f>+R9*1000000/(365*'System Attributes and Operation'!R14)</f>
        <v>#DIV/0!</v>
      </c>
      <c r="S17" s="339"/>
      <c r="T17" s="1"/>
    </row>
    <row r="18" spans="2:20" s="3" customFormat="1" ht="20" customHeight="1" x14ac:dyDescent="0.45">
      <c r="B18" s="416"/>
      <c r="C18" s="347" t="s">
        <v>44</v>
      </c>
      <c r="D18" s="348"/>
      <c r="E18" s="348" t="e">
        <f>+E8*1000/(12*'System Attributes and Operation'!E14)</f>
        <v>#DIV/0!</v>
      </c>
      <c r="F18" s="348" t="e">
        <f>+F8*1000/(12*'System Attributes and Operation'!F14)</f>
        <v>#DIV/0!</v>
      </c>
      <c r="G18" s="348" t="e">
        <f>+G8*1000/(12*'System Attributes and Operation'!G14)</f>
        <v>#DIV/0!</v>
      </c>
      <c r="H18" s="348" t="e">
        <f>+H8*1000/(12*'System Attributes and Operation'!H14)</f>
        <v>#DIV/0!</v>
      </c>
      <c r="I18" s="348" t="e">
        <f>+I8*1000/(12*'System Attributes and Operation'!I14)</f>
        <v>#DIV/0!</v>
      </c>
      <c r="J18" s="348" t="e">
        <f>+J8*1000/(12*'System Attributes and Operation'!J14)</f>
        <v>#DIV/0!</v>
      </c>
      <c r="K18" s="348" t="e">
        <f>+K8*1000/(12*'System Attributes and Operation'!K14)</f>
        <v>#DIV/0!</v>
      </c>
      <c r="L18" s="348" t="e">
        <f>+L8*1000/(12*'System Attributes and Operation'!L14)</f>
        <v>#DIV/0!</v>
      </c>
      <c r="M18" s="348" t="e">
        <f>+M8*1000/(12*'System Attributes and Operation'!M14)</f>
        <v>#DIV/0!</v>
      </c>
      <c r="N18" s="348" t="e">
        <f>+N8*1000/(12*'System Attributes and Operation'!N14)</f>
        <v>#DIV/0!</v>
      </c>
      <c r="O18" s="348" t="e">
        <f>+O8*1000/(12*'System Attributes and Operation'!O14)</f>
        <v>#DIV/0!</v>
      </c>
      <c r="P18" s="348" t="e">
        <f>+P8*1000/(12*'System Attributes and Operation'!P14)</f>
        <v>#DIV/0!</v>
      </c>
      <c r="Q18" s="348" t="e">
        <f>+Q8*1000/(12*'System Attributes and Operation'!Q14)</f>
        <v>#DIV/0!</v>
      </c>
      <c r="R18" s="349" t="e">
        <f>+R8*1000/(12*'System Attributes and Operation'!R14)</f>
        <v>#DIV/0!</v>
      </c>
      <c r="S18" s="339"/>
      <c r="T18" s="1"/>
    </row>
    <row r="19" spans="2:20" s="4" customFormat="1" ht="20" customHeight="1" x14ac:dyDescent="0.45">
      <c r="C19" s="350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2"/>
      <c r="T19" s="2"/>
    </row>
    <row r="20" spans="2:20" ht="20" customHeight="1" x14ac:dyDescent="0.45">
      <c r="B20" s="420" t="s">
        <v>33</v>
      </c>
      <c r="C20" s="353" t="s">
        <v>6</v>
      </c>
      <c r="D20" s="354"/>
      <c r="E20" s="354" t="e">
        <f>+E11*1000000/(365*'System Attributes and Operation'!E14)</f>
        <v>#DIV/0!</v>
      </c>
      <c r="F20" s="354" t="e">
        <f>+F11*1000000/(365*'System Attributes and Operation'!F14)</f>
        <v>#DIV/0!</v>
      </c>
      <c r="G20" s="354" t="e">
        <f>+G11*1000000/(365*'System Attributes and Operation'!G14)</f>
        <v>#DIV/0!</v>
      </c>
      <c r="H20" s="354" t="e">
        <f>+H11*1000000/(365*'System Attributes and Operation'!H14)</f>
        <v>#DIV/0!</v>
      </c>
      <c r="I20" s="354" t="e">
        <f>+I11*1000000/(365*'System Attributes and Operation'!I14)</f>
        <v>#DIV/0!</v>
      </c>
      <c r="J20" s="354" t="e">
        <f>+J11*1000000/(365*'System Attributes and Operation'!J14)</f>
        <v>#DIV/0!</v>
      </c>
      <c r="K20" s="354" t="e">
        <f>+K11*1000000/(365*'System Attributes and Operation'!K14)</f>
        <v>#DIV/0!</v>
      </c>
      <c r="L20" s="354" t="e">
        <f>+L11*1000000/(365*'System Attributes and Operation'!L14)</f>
        <v>#DIV/0!</v>
      </c>
      <c r="M20" s="354" t="e">
        <f>+M11*1000000/(365*'System Attributes and Operation'!M14)</f>
        <v>#DIV/0!</v>
      </c>
      <c r="N20" s="354" t="e">
        <f>+N11*1000000/(365*'System Attributes and Operation'!N14)</f>
        <v>#DIV/0!</v>
      </c>
      <c r="O20" s="354" t="e">
        <f>+O11*1000000/(365*'System Attributes and Operation'!O14)</f>
        <v>#DIV/0!</v>
      </c>
      <c r="P20" s="354" t="e">
        <f>+P11*1000000/(365*'System Attributes and Operation'!P14)</f>
        <v>#DIV/0!</v>
      </c>
      <c r="Q20" s="354" t="e">
        <f>+Q11*1000000/(365*'System Attributes and Operation'!Q14)</f>
        <v>#DIV/0!</v>
      </c>
      <c r="R20" s="355" t="e">
        <f>+R11*1000000/(365*'System Attributes and Operation'!R14)</f>
        <v>#DIV/0!</v>
      </c>
      <c r="S20" s="354"/>
      <c r="T20" s="2"/>
    </row>
    <row r="21" spans="2:20" ht="20" customHeight="1" x14ac:dyDescent="0.45">
      <c r="B21" s="420"/>
      <c r="C21" s="356" t="s">
        <v>30</v>
      </c>
      <c r="D21" s="354"/>
      <c r="E21" s="354" t="e">
        <f>+E13*1000000/(365*'System Attributes and Operation'!E14)</f>
        <v>#DIV/0!</v>
      </c>
      <c r="F21" s="354" t="e">
        <f>+F13*1000000/(365*'System Attributes and Operation'!F14)</f>
        <v>#DIV/0!</v>
      </c>
      <c r="G21" s="354" t="e">
        <f>+G13*1000000/(365*'System Attributes and Operation'!G14)</f>
        <v>#DIV/0!</v>
      </c>
      <c r="H21" s="354" t="e">
        <f>+H13*1000000/(365*'System Attributes and Operation'!H14)</f>
        <v>#DIV/0!</v>
      </c>
      <c r="I21" s="354" t="e">
        <f>+I13*1000000/(365*'System Attributes and Operation'!I14)</f>
        <v>#DIV/0!</v>
      </c>
      <c r="J21" s="354" t="e">
        <f>+J13*1000000/(365*'System Attributes and Operation'!J14)</f>
        <v>#DIV/0!</v>
      </c>
      <c r="K21" s="354" t="e">
        <f>+K13*1000000/(365*'System Attributes and Operation'!K14)</f>
        <v>#DIV/0!</v>
      </c>
      <c r="L21" s="354" t="e">
        <f>+L13*1000000/(365*'System Attributes and Operation'!L14)</f>
        <v>#DIV/0!</v>
      </c>
      <c r="M21" s="354" t="e">
        <f>+M13*1000000/(365*'System Attributes and Operation'!M14)</f>
        <v>#DIV/0!</v>
      </c>
      <c r="N21" s="354" t="e">
        <f>+N13*1000000/(365*'System Attributes and Operation'!N14)</f>
        <v>#DIV/0!</v>
      </c>
      <c r="O21" s="354" t="e">
        <f>+O13*1000000/(365*'System Attributes and Operation'!O14)</f>
        <v>#DIV/0!</v>
      </c>
      <c r="P21" s="354" t="e">
        <f>+P13*1000000/(365*'System Attributes and Operation'!P14)</f>
        <v>#DIV/0!</v>
      </c>
      <c r="Q21" s="354" t="e">
        <f>+Q13*1000000/(365*'System Attributes and Operation'!Q14)</f>
        <v>#DIV/0!</v>
      </c>
      <c r="R21" s="355" t="e">
        <f>+R13*1000000/(365*'System Attributes and Operation'!R14)</f>
        <v>#DIV/0!</v>
      </c>
      <c r="S21" s="354"/>
      <c r="T21" s="2"/>
    </row>
    <row r="22" spans="2:20" s="4" customFormat="1" ht="20" customHeight="1" x14ac:dyDescent="0.45">
      <c r="B22" s="420"/>
      <c r="C22" s="357" t="s">
        <v>28</v>
      </c>
      <c r="D22" s="354"/>
      <c r="E22" s="354" t="e">
        <f>+E14*1000000/(365*'System Attributes and Operation'!E14)</f>
        <v>#DIV/0!</v>
      </c>
      <c r="F22" s="354" t="e">
        <f>+F14*1000000/(365*'System Attributes and Operation'!F14)</f>
        <v>#DIV/0!</v>
      </c>
      <c r="G22" s="354" t="e">
        <f>+G14*1000000/(365*'System Attributes and Operation'!G14)</f>
        <v>#DIV/0!</v>
      </c>
      <c r="H22" s="354" t="e">
        <f>+H14*1000000/(365*'System Attributes and Operation'!H14)</f>
        <v>#DIV/0!</v>
      </c>
      <c r="I22" s="354" t="e">
        <f>+I14*1000000/(365*'System Attributes and Operation'!I14)</f>
        <v>#DIV/0!</v>
      </c>
      <c r="J22" s="354" t="e">
        <f>+J14*1000000/(365*'System Attributes and Operation'!J14)</f>
        <v>#DIV/0!</v>
      </c>
      <c r="K22" s="354" t="e">
        <f>+K14*1000000/(365*'System Attributes and Operation'!K14)</f>
        <v>#DIV/0!</v>
      </c>
      <c r="L22" s="354" t="e">
        <f>+L14*1000000/(365*'System Attributes and Operation'!L14)</f>
        <v>#DIV/0!</v>
      </c>
      <c r="M22" s="354" t="e">
        <f>+M14*1000000/(365*'System Attributes and Operation'!M14)</f>
        <v>#DIV/0!</v>
      </c>
      <c r="N22" s="354" t="e">
        <f>+N14*1000000/(365*'System Attributes and Operation'!N14)</f>
        <v>#DIV/0!</v>
      </c>
      <c r="O22" s="354" t="e">
        <f>+O14*1000000/(365*'System Attributes and Operation'!O14)</f>
        <v>#DIV/0!</v>
      </c>
      <c r="P22" s="354" t="e">
        <f>+P14*1000000/(365*'System Attributes and Operation'!P14)</f>
        <v>#DIV/0!</v>
      </c>
      <c r="Q22" s="354" t="e">
        <f>+Q14*1000000/(365*'System Attributes and Operation'!Q14)</f>
        <v>#DIV/0!</v>
      </c>
      <c r="R22" s="355" t="e">
        <f>+R14*1000000/(365*'System Attributes and Operation'!R14)</f>
        <v>#DIV/0!</v>
      </c>
      <c r="S22" s="354"/>
      <c r="T22" s="2"/>
    </row>
    <row r="23" spans="2:20" ht="20" customHeight="1" x14ac:dyDescent="0.45">
      <c r="B23" s="420"/>
      <c r="C23" s="357" t="s">
        <v>15</v>
      </c>
      <c r="D23" s="342"/>
      <c r="E23" s="342" t="e">
        <f t="shared" ref="E23:L23" si="24">+E14/E9</f>
        <v>#DIV/0!</v>
      </c>
      <c r="F23" s="342" t="e">
        <f t="shared" si="24"/>
        <v>#DIV/0!</v>
      </c>
      <c r="G23" s="342" t="e">
        <f t="shared" si="24"/>
        <v>#DIV/0!</v>
      </c>
      <c r="H23" s="342" t="e">
        <f t="shared" si="24"/>
        <v>#DIV/0!</v>
      </c>
      <c r="I23" s="342" t="e">
        <f t="shared" si="24"/>
        <v>#DIV/0!</v>
      </c>
      <c r="J23" s="342" t="e">
        <f t="shared" si="24"/>
        <v>#DIV/0!</v>
      </c>
      <c r="K23" s="342" t="e">
        <f t="shared" si="24"/>
        <v>#DIV/0!</v>
      </c>
      <c r="L23" s="342" t="e">
        <f t="shared" si="24"/>
        <v>#DIV/0!</v>
      </c>
      <c r="M23" s="342" t="e">
        <f t="shared" ref="M23:R23" si="25">+M14/M9</f>
        <v>#DIV/0!</v>
      </c>
      <c r="N23" s="342" t="e">
        <f t="shared" si="25"/>
        <v>#DIV/0!</v>
      </c>
      <c r="O23" s="342" t="e">
        <f t="shared" si="25"/>
        <v>#DIV/0!</v>
      </c>
      <c r="P23" s="342" t="e">
        <f t="shared" si="25"/>
        <v>#DIV/0!</v>
      </c>
      <c r="Q23" s="342" t="e">
        <f t="shared" si="25"/>
        <v>#DIV/0!</v>
      </c>
      <c r="R23" s="358" t="e">
        <f t="shared" si="25"/>
        <v>#DIV/0!</v>
      </c>
      <c r="S23" s="359"/>
      <c r="T23" s="2"/>
    </row>
    <row r="24" spans="2:20" ht="20" customHeight="1" x14ac:dyDescent="0.45">
      <c r="B24" s="420"/>
      <c r="C24" s="360" t="s">
        <v>8</v>
      </c>
      <c r="D24" s="354"/>
      <c r="E24" s="354" t="e">
        <f>+E15*1000000/(365*'System Attributes and Operation'!E14)</f>
        <v>#DIV/0!</v>
      </c>
      <c r="F24" s="354" t="e">
        <f>+F15*1000000/(365*'System Attributes and Operation'!F14)</f>
        <v>#DIV/0!</v>
      </c>
      <c r="G24" s="354" t="e">
        <f>+G15*1000000/(365*'System Attributes and Operation'!G14)</f>
        <v>#DIV/0!</v>
      </c>
      <c r="H24" s="354" t="e">
        <f>+H15*1000000/(365*'System Attributes and Operation'!H14)</f>
        <v>#DIV/0!</v>
      </c>
      <c r="I24" s="354" t="e">
        <f>+I15*1000000/(365*'System Attributes and Operation'!I14)</f>
        <v>#DIV/0!</v>
      </c>
      <c r="J24" s="354" t="e">
        <f>+J15*1000000/(365*'System Attributes and Operation'!J14)</f>
        <v>#DIV/0!</v>
      </c>
      <c r="K24" s="354" t="e">
        <f>+K15*1000000/(365*'System Attributes and Operation'!K14)</f>
        <v>#DIV/0!</v>
      </c>
      <c r="L24" s="354" t="e">
        <f>+L15*1000000/(365*'System Attributes and Operation'!L14)</f>
        <v>#DIV/0!</v>
      </c>
      <c r="M24" s="354" t="e">
        <f>+M15*1000000/(365*'System Attributes and Operation'!M14)</f>
        <v>#DIV/0!</v>
      </c>
      <c r="N24" s="354" t="e">
        <f>+N15*1000000/(365*'System Attributes and Operation'!N14)</f>
        <v>#DIV/0!</v>
      </c>
      <c r="O24" s="354" t="e">
        <f>+O15*1000000/(365*'System Attributes and Operation'!O14)</f>
        <v>#DIV/0!</v>
      </c>
      <c r="P24" s="354" t="e">
        <f>+P15*1000000/(365*'System Attributes and Operation'!P14)</f>
        <v>#DIV/0!</v>
      </c>
      <c r="Q24" s="354" t="e">
        <f>+Q15*1000000/(365*'System Attributes and Operation'!Q14)</f>
        <v>#DIV/0!</v>
      </c>
      <c r="R24" s="355" t="e">
        <f>+R15*1000000/(365*'System Attributes and Operation'!R14)</f>
        <v>#DIV/0!</v>
      </c>
      <c r="S24" s="354"/>
      <c r="T24" s="2"/>
    </row>
    <row r="25" spans="2:20" ht="20" customHeight="1" x14ac:dyDescent="0.45">
      <c r="B25" s="420"/>
      <c r="C25" s="360" t="s">
        <v>7</v>
      </c>
      <c r="D25" s="361"/>
      <c r="E25" s="361" t="e">
        <f>+E15*1000/(365*'System Attributes and Operation'!E4)</f>
        <v>#DIV/0!</v>
      </c>
      <c r="F25" s="361" t="e">
        <f>+F15*1000/(365*'System Attributes and Operation'!F4)</f>
        <v>#DIV/0!</v>
      </c>
      <c r="G25" s="361" t="e">
        <f>+G15*1000/(365*'System Attributes and Operation'!G4)</f>
        <v>#DIV/0!</v>
      </c>
      <c r="H25" s="361" t="e">
        <f>+H15*1000/(365*'System Attributes and Operation'!H4)</f>
        <v>#DIV/0!</v>
      </c>
      <c r="I25" s="361" t="e">
        <f>+I15*1000/(365*'System Attributes and Operation'!I4)</f>
        <v>#DIV/0!</v>
      </c>
      <c r="J25" s="361" t="e">
        <f>+J15*1000/(365*'System Attributes and Operation'!J4)</f>
        <v>#DIV/0!</v>
      </c>
      <c r="K25" s="361" t="e">
        <f>+K15*1000/(365*'System Attributes and Operation'!K4)</f>
        <v>#DIV/0!</v>
      </c>
      <c r="L25" s="361" t="e">
        <f>+L15*1000/(365*'System Attributes and Operation'!L4)</f>
        <v>#DIV/0!</v>
      </c>
      <c r="M25" s="361" t="e">
        <f>+M15*1000/(365*'System Attributes and Operation'!M4)</f>
        <v>#DIV/0!</v>
      </c>
      <c r="N25" s="361" t="e">
        <f>+N15*1000/(365*'System Attributes and Operation'!N4)</f>
        <v>#DIV/0!</v>
      </c>
      <c r="O25" s="361" t="e">
        <f>+O15*1000/(365*'System Attributes and Operation'!O4)</f>
        <v>#DIV/0!</v>
      </c>
      <c r="P25" s="361" t="e">
        <f>+P15*1000/(365*'System Attributes and Operation'!P4)</f>
        <v>#DIV/0!</v>
      </c>
      <c r="Q25" s="361" t="e">
        <f>+Q15*1000/(365*'System Attributes and Operation'!Q4)</f>
        <v>#DIV/0!</v>
      </c>
      <c r="R25" s="362" t="e">
        <f>+R15*1000/(365*'System Attributes and Operation'!R4)</f>
        <v>#DIV/0!</v>
      </c>
      <c r="S25" s="361"/>
      <c r="T25" s="2"/>
    </row>
    <row r="26" spans="2:20" s="3" customFormat="1" ht="20" customHeight="1" x14ac:dyDescent="0.45">
      <c r="B26" s="140"/>
      <c r="C26" s="363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4"/>
      <c r="O26" s="364"/>
      <c r="P26" s="364"/>
      <c r="Q26" s="364"/>
      <c r="R26" s="365"/>
      <c r="S26" s="352"/>
      <c r="T26" s="1"/>
    </row>
    <row r="27" spans="2:20" s="3" customFormat="1" ht="20" customHeight="1" x14ac:dyDescent="0.45">
      <c r="B27" s="410" t="s">
        <v>222</v>
      </c>
      <c r="C27" s="341" t="s">
        <v>226</v>
      </c>
      <c r="D27" s="364"/>
      <c r="E27" s="364" t="e">
        <f>+'System Attributes and Operation'!E59</f>
        <v>#DIV/0!</v>
      </c>
      <c r="F27" s="364" t="e">
        <f>+'System Attributes and Operation'!F59</f>
        <v>#DIV/0!</v>
      </c>
      <c r="G27" s="364" t="e">
        <f>+'System Attributes and Operation'!G59</f>
        <v>#DIV/0!</v>
      </c>
      <c r="H27" s="364" t="e">
        <f>+'System Attributes and Operation'!H59</f>
        <v>#DIV/0!</v>
      </c>
      <c r="I27" s="364" t="e">
        <f>+'System Attributes and Operation'!I59</f>
        <v>#DIV/0!</v>
      </c>
      <c r="J27" s="364" t="e">
        <f>+'System Attributes and Operation'!J59</f>
        <v>#DIV/0!</v>
      </c>
      <c r="K27" s="364" t="e">
        <f>+'System Attributes and Operation'!K59</f>
        <v>#DIV/0!</v>
      </c>
      <c r="L27" s="364" t="e">
        <f>+'System Attributes and Operation'!L59</f>
        <v>#DIV/0!</v>
      </c>
      <c r="M27" s="364" t="e">
        <f>+'System Attributes and Operation'!M59</f>
        <v>#DIV/0!</v>
      </c>
      <c r="N27" s="364" t="e">
        <f>+'System Attributes and Operation'!N59</f>
        <v>#DIV/0!</v>
      </c>
      <c r="O27" s="364" t="e">
        <f>+'System Attributes and Operation'!O59</f>
        <v>#DIV/0!</v>
      </c>
      <c r="P27" s="364" t="e">
        <f>+'System Attributes and Operation'!P59</f>
        <v>#DIV/0!</v>
      </c>
      <c r="Q27" s="364" t="e">
        <f>+'System Attributes and Operation'!Q59</f>
        <v>#DIV/0!</v>
      </c>
      <c r="R27" s="365" t="e">
        <f>+'System Attributes and Operation'!R59</f>
        <v>#DIV/0!</v>
      </c>
      <c r="S27" s="352"/>
      <c r="T27" s="1"/>
    </row>
    <row r="28" spans="2:20" s="3" customFormat="1" ht="20" customHeight="1" x14ac:dyDescent="0.45">
      <c r="B28" s="411"/>
      <c r="C28" s="341" t="s">
        <v>220</v>
      </c>
      <c r="D28" s="364"/>
      <c r="E28" s="364">
        <f>+'System Attributes and Operation'!E60</f>
        <v>0</v>
      </c>
      <c r="F28" s="364">
        <f>+'System Attributes and Operation'!F60</f>
        <v>0</v>
      </c>
      <c r="G28" s="364">
        <f>+'System Attributes and Operation'!G60</f>
        <v>0</v>
      </c>
      <c r="H28" s="364">
        <f>+'System Attributes and Operation'!H60</f>
        <v>0</v>
      </c>
      <c r="I28" s="364">
        <f>+'System Attributes and Operation'!I60</f>
        <v>0</v>
      </c>
      <c r="J28" s="364">
        <f>+'System Attributes and Operation'!J60</f>
        <v>0</v>
      </c>
      <c r="K28" s="364">
        <f>+'System Attributes and Operation'!K60</f>
        <v>0</v>
      </c>
      <c r="L28" s="364">
        <f>+'System Attributes and Operation'!L60</f>
        <v>0</v>
      </c>
      <c r="M28" s="364">
        <f>+'System Attributes and Operation'!M60</f>
        <v>0</v>
      </c>
      <c r="N28" s="364">
        <f>+'System Attributes and Operation'!N60</f>
        <v>0</v>
      </c>
      <c r="O28" s="364">
        <f>+'System Attributes and Operation'!O60</f>
        <v>0</v>
      </c>
      <c r="P28" s="364">
        <f>+'System Attributes and Operation'!P60</f>
        <v>0</v>
      </c>
      <c r="Q28" s="364">
        <f>+'System Attributes and Operation'!Q60</f>
        <v>0</v>
      </c>
      <c r="R28" s="365">
        <f>+'System Attributes and Operation'!R60</f>
        <v>0</v>
      </c>
      <c r="S28" s="352"/>
      <c r="T28" s="1"/>
    </row>
    <row r="29" spans="2:20" s="3" customFormat="1" ht="20" customHeight="1" x14ac:dyDescent="0.45">
      <c r="B29" s="412"/>
      <c r="C29" s="341" t="s">
        <v>221</v>
      </c>
      <c r="D29" s="364"/>
      <c r="E29" s="364" t="e">
        <f>+'System Attributes and Operation'!E61</f>
        <v>#DIV/0!</v>
      </c>
      <c r="F29" s="364" t="e">
        <f>+'System Attributes and Operation'!F61</f>
        <v>#DIV/0!</v>
      </c>
      <c r="G29" s="364" t="e">
        <f>+'System Attributes and Operation'!G61</f>
        <v>#DIV/0!</v>
      </c>
      <c r="H29" s="364" t="e">
        <f>+'System Attributes and Operation'!H61</f>
        <v>#DIV/0!</v>
      </c>
      <c r="I29" s="364" t="e">
        <f>+'System Attributes and Operation'!I61</f>
        <v>#DIV/0!</v>
      </c>
      <c r="J29" s="364" t="e">
        <f>+'System Attributes and Operation'!J61</f>
        <v>#DIV/0!</v>
      </c>
      <c r="K29" s="364" t="e">
        <f>+'System Attributes and Operation'!K61</f>
        <v>#DIV/0!</v>
      </c>
      <c r="L29" s="364" t="e">
        <f>+'System Attributes and Operation'!L61</f>
        <v>#DIV/0!</v>
      </c>
      <c r="M29" s="364" t="e">
        <f>+'System Attributes and Operation'!M61</f>
        <v>#DIV/0!</v>
      </c>
      <c r="N29" s="364" t="e">
        <f>+'System Attributes and Operation'!N61</f>
        <v>#DIV/0!</v>
      </c>
      <c r="O29" s="364" t="e">
        <f>+'System Attributes and Operation'!O61</f>
        <v>#DIV/0!</v>
      </c>
      <c r="P29" s="364" t="e">
        <f>+'System Attributes and Operation'!P61</f>
        <v>#DIV/0!</v>
      </c>
      <c r="Q29" s="364" t="e">
        <f>+'System Attributes and Operation'!Q61</f>
        <v>#DIV/0!</v>
      </c>
      <c r="R29" s="365" t="e">
        <f>+'System Attributes and Operation'!R61</f>
        <v>#DIV/0!</v>
      </c>
      <c r="S29" s="352"/>
      <c r="T29" s="1"/>
    </row>
    <row r="30" spans="2:20" s="3" customFormat="1" ht="20" customHeight="1" x14ac:dyDescent="0.45">
      <c r="B30" s="140"/>
      <c r="C30" s="363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2"/>
      <c r="S30" s="352"/>
      <c r="T30" s="1"/>
    </row>
    <row r="31" spans="2:20" s="13" customFormat="1" ht="20" customHeight="1" x14ac:dyDescent="0.35">
      <c r="B31" s="406" t="s">
        <v>34</v>
      </c>
      <c r="C31" s="366" t="s">
        <v>38</v>
      </c>
      <c r="D31" s="367"/>
      <c r="E31" s="367" t="e">
        <f>+E14*'Utility Finances'!E29</f>
        <v>#DIV/0!</v>
      </c>
      <c r="F31" s="367" t="e">
        <f>+F14*'Utility Finances'!F29</f>
        <v>#DIV/0!</v>
      </c>
      <c r="G31" s="367" t="e">
        <f>+G14*'Utility Finances'!G29</f>
        <v>#DIV/0!</v>
      </c>
      <c r="H31" s="367" t="e">
        <f>+H14*'Utility Finances'!H29</f>
        <v>#DIV/0!</v>
      </c>
      <c r="I31" s="367" t="e">
        <f>+I14*'Utility Finances'!I29</f>
        <v>#DIV/0!</v>
      </c>
      <c r="J31" s="367" t="e">
        <f>+J14*'Utility Finances'!J29</f>
        <v>#DIV/0!</v>
      </c>
      <c r="K31" s="367" t="e">
        <f>+K14*'Utility Finances'!K29</f>
        <v>#DIV/0!</v>
      </c>
      <c r="L31" s="367" t="e">
        <f>+L14*'Utility Finances'!L29</f>
        <v>#DIV/0!</v>
      </c>
      <c r="M31" s="367" t="e">
        <f>+M14*'Utility Finances'!M29</f>
        <v>#DIV/0!</v>
      </c>
      <c r="N31" s="367" t="e">
        <f>+N14*'Utility Finances'!N29</f>
        <v>#DIV/0!</v>
      </c>
      <c r="O31" s="367" t="e">
        <f>+O14*'Utility Finances'!O29</f>
        <v>#DIV/0!</v>
      </c>
      <c r="P31" s="367" t="e">
        <f>+P14*'Utility Finances'!P29</f>
        <v>#DIV/0!</v>
      </c>
      <c r="Q31" s="367" t="e">
        <f>+Q14*'Utility Finances'!Q29</f>
        <v>#DIV/0!</v>
      </c>
      <c r="R31" s="368" t="e">
        <f>+R14*'Utility Finances'!R29</f>
        <v>#DIV/0!</v>
      </c>
      <c r="S31" s="367"/>
      <c r="T31" s="138"/>
    </row>
    <row r="32" spans="2:20" s="13" customFormat="1" ht="20" customHeight="1" x14ac:dyDescent="0.35">
      <c r="B32" s="407"/>
      <c r="C32" s="366" t="s">
        <v>164</v>
      </c>
      <c r="D32" s="369"/>
      <c r="E32" s="342" t="e">
        <f>+E31*1000/'Utility Finances'!E10</f>
        <v>#DIV/0!</v>
      </c>
      <c r="F32" s="342" t="e">
        <f>+F31*1000/'Utility Finances'!F10</f>
        <v>#DIV/0!</v>
      </c>
      <c r="G32" s="342" t="e">
        <f>+G31*1000/'Utility Finances'!G10</f>
        <v>#DIV/0!</v>
      </c>
      <c r="H32" s="342" t="e">
        <f>+H31*1000/'Utility Finances'!H10</f>
        <v>#DIV/0!</v>
      </c>
      <c r="I32" s="342" t="e">
        <f>+I31*1000/'Utility Finances'!I10</f>
        <v>#DIV/0!</v>
      </c>
      <c r="J32" s="342" t="e">
        <f>+J31*1000/'Utility Finances'!J10</f>
        <v>#DIV/0!</v>
      </c>
      <c r="K32" s="342" t="e">
        <f>+K31*1000/'Utility Finances'!K10</f>
        <v>#DIV/0!</v>
      </c>
      <c r="L32" s="342" t="e">
        <f>+L31*1000/'Utility Finances'!L10</f>
        <v>#DIV/0!</v>
      </c>
      <c r="M32" s="342" t="e">
        <f>+M31*1000/'Utility Finances'!M10</f>
        <v>#DIV/0!</v>
      </c>
      <c r="N32" s="342" t="e">
        <f>+N31*1000/'Utility Finances'!N10</f>
        <v>#DIV/0!</v>
      </c>
      <c r="O32" s="342" t="e">
        <f>+O31*1000/'Utility Finances'!O10</f>
        <v>#DIV/0!</v>
      </c>
      <c r="P32" s="342" t="e">
        <f>+P31*1000/'Utility Finances'!P10</f>
        <v>#DIV/0!</v>
      </c>
      <c r="Q32" s="342" t="e">
        <f>+Q31*1000/'Utility Finances'!Q10</f>
        <v>#DIV/0!</v>
      </c>
      <c r="R32" s="370" t="e">
        <f>+R31*1000/'Utility Finances'!R10</f>
        <v>#DIV/0!</v>
      </c>
      <c r="S32" s="367"/>
      <c r="T32" s="138"/>
    </row>
    <row r="33" spans="1:20" s="13" customFormat="1" ht="20" customHeight="1" x14ac:dyDescent="0.35">
      <c r="B33" s="407"/>
      <c r="C33" s="371" t="s">
        <v>39</v>
      </c>
      <c r="D33" s="367"/>
      <c r="E33" s="367" t="e">
        <f>+'Utility Finances'!E28*0.25</f>
        <v>#DIV/0!</v>
      </c>
      <c r="F33" s="367" t="e">
        <f>+'Utility Finances'!F28*0.25</f>
        <v>#DIV/0!</v>
      </c>
      <c r="G33" s="367" t="e">
        <f>+'Utility Finances'!G28*0.25</f>
        <v>#DIV/0!</v>
      </c>
      <c r="H33" s="367" t="e">
        <f>+'Utility Finances'!H28*0.25</f>
        <v>#DIV/0!</v>
      </c>
      <c r="I33" s="367" t="e">
        <f>+'Utility Finances'!I28*0.25</f>
        <v>#DIV/0!</v>
      </c>
      <c r="J33" s="367" t="e">
        <f>+'Utility Finances'!J28*0.25</f>
        <v>#DIV/0!</v>
      </c>
      <c r="K33" s="367" t="e">
        <f>+'Utility Finances'!K28*0.25</f>
        <v>#DIV/0!</v>
      </c>
      <c r="L33" s="367" t="e">
        <f>+'Utility Finances'!L28*0.25</f>
        <v>#DIV/0!</v>
      </c>
      <c r="M33" s="367" t="e">
        <f>+'Utility Finances'!M28*0.25</f>
        <v>#DIV/0!</v>
      </c>
      <c r="N33" s="367" t="e">
        <f>+'Utility Finances'!N28*0.25</f>
        <v>#DIV/0!</v>
      </c>
      <c r="O33" s="367" t="e">
        <f>+'Utility Finances'!O28*0.25</f>
        <v>#DIV/0!</v>
      </c>
      <c r="P33" s="367" t="e">
        <f>+'Utility Finances'!P28*0.25</f>
        <v>#DIV/0!</v>
      </c>
      <c r="Q33" s="367" t="e">
        <f>+'Utility Finances'!Q28*0.25</f>
        <v>#DIV/0!</v>
      </c>
      <c r="R33" s="368" t="e">
        <f>+'Utility Finances'!R28*0.25</f>
        <v>#DIV/0!</v>
      </c>
      <c r="S33" s="367"/>
      <c r="T33" s="138"/>
    </row>
    <row r="34" spans="1:20" s="13" customFormat="1" ht="20" customHeight="1" x14ac:dyDescent="0.35">
      <c r="B34" s="407"/>
      <c r="C34" s="371" t="s">
        <v>163</v>
      </c>
      <c r="D34" s="369"/>
      <c r="E34" s="342" t="e">
        <f>+E33*1000/'Utility Finances'!E17</f>
        <v>#DIV/0!</v>
      </c>
      <c r="F34" s="342" t="e">
        <f>+F33*1000/'Utility Finances'!F17</f>
        <v>#DIV/0!</v>
      </c>
      <c r="G34" s="342" t="e">
        <f>+G33*1000/'Utility Finances'!G17</f>
        <v>#DIV/0!</v>
      </c>
      <c r="H34" s="342" t="e">
        <f>+H33*1000/'Utility Finances'!H17</f>
        <v>#DIV/0!</v>
      </c>
      <c r="I34" s="342" t="e">
        <f>+I33*1000/'Utility Finances'!I17</f>
        <v>#DIV/0!</v>
      </c>
      <c r="J34" s="342" t="e">
        <f>+J33*1000/'Utility Finances'!J17</f>
        <v>#DIV/0!</v>
      </c>
      <c r="K34" s="342" t="e">
        <f>+K33*1000/'Utility Finances'!K17</f>
        <v>#DIV/0!</v>
      </c>
      <c r="L34" s="342" t="e">
        <f>+L33*1000/'Utility Finances'!L17</f>
        <v>#DIV/0!</v>
      </c>
      <c r="M34" s="342" t="e">
        <f>+M33*1000/'Utility Finances'!M17</f>
        <v>#DIV/0!</v>
      </c>
      <c r="N34" s="342" t="e">
        <f>+N33*1000/'Utility Finances'!N17</f>
        <v>#DIV/0!</v>
      </c>
      <c r="O34" s="342" t="e">
        <f>+O33*1000/'Utility Finances'!O17</f>
        <v>#DIV/0!</v>
      </c>
      <c r="P34" s="342" t="e">
        <f>+P33*1000/'Utility Finances'!P17</f>
        <v>#DIV/0!</v>
      </c>
      <c r="Q34" s="342" t="e">
        <f>+Q33*1000/'Utility Finances'!Q17</f>
        <v>#DIV/0!</v>
      </c>
      <c r="R34" s="370" t="e">
        <f>+R33*1000/'Utility Finances'!R17</f>
        <v>#DIV/0!</v>
      </c>
      <c r="S34" s="367"/>
      <c r="T34" s="138"/>
    </row>
    <row r="35" spans="1:20" s="13" customFormat="1" ht="20" customHeight="1" x14ac:dyDescent="0.35">
      <c r="B35" s="407"/>
      <c r="C35" s="372" t="s">
        <v>144</v>
      </c>
      <c r="D35" s="369"/>
      <c r="E35" s="369" t="e">
        <f t="shared" ref="E35:G35" si="26">+E33+E31</f>
        <v>#DIV/0!</v>
      </c>
      <c r="F35" s="369" t="e">
        <f t="shared" si="26"/>
        <v>#DIV/0!</v>
      </c>
      <c r="G35" s="369" t="e">
        <f t="shared" si="26"/>
        <v>#DIV/0!</v>
      </c>
      <c r="H35" s="369" t="e">
        <f t="shared" ref="H35:J35" si="27">+H33+H31</f>
        <v>#DIV/0!</v>
      </c>
      <c r="I35" s="369" t="e">
        <f t="shared" si="27"/>
        <v>#DIV/0!</v>
      </c>
      <c r="J35" s="369" t="e">
        <f t="shared" si="27"/>
        <v>#DIV/0!</v>
      </c>
      <c r="K35" s="369" t="e">
        <f t="shared" ref="K35:L35" si="28">+K33+K31</f>
        <v>#DIV/0!</v>
      </c>
      <c r="L35" s="369" t="e">
        <f t="shared" si="28"/>
        <v>#DIV/0!</v>
      </c>
      <c r="M35" s="369" t="e">
        <f>+M33+M31</f>
        <v>#DIV/0!</v>
      </c>
      <c r="N35" s="369" t="e">
        <f t="shared" ref="N35:Q35" si="29">+N33+N31</f>
        <v>#DIV/0!</v>
      </c>
      <c r="O35" s="369" t="e">
        <f t="shared" si="29"/>
        <v>#DIV/0!</v>
      </c>
      <c r="P35" s="369" t="e">
        <f t="shared" si="29"/>
        <v>#DIV/0!</v>
      </c>
      <c r="Q35" s="369" t="e">
        <f t="shared" si="29"/>
        <v>#DIV/0!</v>
      </c>
      <c r="R35" s="373" t="e">
        <f t="shared" ref="R35" si="30">+R33+R31</f>
        <v>#DIV/0!</v>
      </c>
      <c r="S35" s="367"/>
      <c r="T35" s="138"/>
    </row>
    <row r="36" spans="1:20" s="13" customFormat="1" ht="20" customHeight="1" x14ac:dyDescent="0.35">
      <c r="B36" s="408"/>
      <c r="C36" s="372" t="s">
        <v>145</v>
      </c>
      <c r="D36" s="369"/>
      <c r="E36" s="369" t="e">
        <f>+E35*1000/'System Attributes and Operation'!E14</f>
        <v>#DIV/0!</v>
      </c>
      <c r="F36" s="369" t="e">
        <f>+F35*1000/'System Attributes and Operation'!F14</f>
        <v>#DIV/0!</v>
      </c>
      <c r="G36" s="369" t="e">
        <f>+G35*1000/'System Attributes and Operation'!G14</f>
        <v>#DIV/0!</v>
      </c>
      <c r="H36" s="369" t="e">
        <f>+H35*1000/'System Attributes and Operation'!H14</f>
        <v>#DIV/0!</v>
      </c>
      <c r="I36" s="369" t="e">
        <f>+I35*1000/'System Attributes and Operation'!I14</f>
        <v>#DIV/0!</v>
      </c>
      <c r="J36" s="369" t="e">
        <f>+J35*1000/'System Attributes and Operation'!J14</f>
        <v>#DIV/0!</v>
      </c>
      <c r="K36" s="369" t="e">
        <f>+K35*1000/'System Attributes and Operation'!K14</f>
        <v>#DIV/0!</v>
      </c>
      <c r="L36" s="369" t="e">
        <f>+L35*1000/'System Attributes and Operation'!L14</f>
        <v>#DIV/0!</v>
      </c>
      <c r="M36" s="369" t="e">
        <f>+M35*1000/'System Attributes and Operation'!M14</f>
        <v>#DIV/0!</v>
      </c>
      <c r="N36" s="369" t="e">
        <f>+N35*1000/'System Attributes and Operation'!N14</f>
        <v>#DIV/0!</v>
      </c>
      <c r="O36" s="369" t="e">
        <f>+O35*1000/'System Attributes and Operation'!O14</f>
        <v>#DIV/0!</v>
      </c>
      <c r="P36" s="369" t="e">
        <f>+P35*1000/'System Attributes and Operation'!P14</f>
        <v>#DIV/0!</v>
      </c>
      <c r="Q36" s="369" t="e">
        <f>+Q35*1000/'System Attributes and Operation'!Q14</f>
        <v>#DIV/0!</v>
      </c>
      <c r="R36" s="373" t="e">
        <f>+R35*1000/'System Attributes and Operation'!R14</f>
        <v>#DIV/0!</v>
      </c>
      <c r="S36" s="367"/>
      <c r="T36" s="138"/>
    </row>
    <row r="39" spans="1:20" ht="23.25" customHeight="1" x14ac:dyDescent="0.35">
      <c r="B39" s="409" t="s">
        <v>166</v>
      </c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337"/>
    </row>
    <row r="40" spans="1:20" s="386" customFormat="1" ht="18.5" x14ac:dyDescent="0.45">
      <c r="B40" s="387" t="s">
        <v>231</v>
      </c>
      <c r="C40" s="388"/>
      <c r="D40" s="389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89"/>
      <c r="T40" s="391"/>
    </row>
    <row r="41" spans="1:20" s="386" customFormat="1" ht="18.5" x14ac:dyDescent="0.45">
      <c r="B41" s="387" t="s">
        <v>19</v>
      </c>
      <c r="C41" s="388"/>
      <c r="D41" s="389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89"/>
      <c r="T41" s="391"/>
    </row>
    <row r="42" spans="1:20" s="386" customFormat="1" ht="18.5" x14ac:dyDescent="0.45">
      <c r="B42" s="387" t="s">
        <v>20</v>
      </c>
      <c r="C42" s="388"/>
      <c r="D42" s="389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89"/>
      <c r="T42" s="391"/>
    </row>
    <row r="43" spans="1:20" s="386" customFormat="1" ht="18.5" x14ac:dyDescent="0.45">
      <c r="B43" s="387" t="s">
        <v>21</v>
      </c>
      <c r="C43" s="388"/>
      <c r="D43" s="389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89"/>
      <c r="T43" s="391"/>
    </row>
    <row r="44" spans="1:20" s="386" customFormat="1" ht="18.5" x14ac:dyDescent="0.45">
      <c r="B44" s="405"/>
      <c r="C44" s="405"/>
      <c r="D44" s="363"/>
      <c r="E44" s="392"/>
      <c r="F44" s="392"/>
      <c r="G44" s="392"/>
      <c r="H44" s="392"/>
      <c r="I44" s="392"/>
      <c r="J44" s="392"/>
      <c r="K44" s="392"/>
      <c r="L44" s="392"/>
      <c r="M44" s="393"/>
      <c r="N44" s="393"/>
      <c r="O44" s="393"/>
      <c r="P44" s="393"/>
      <c r="Q44" s="393"/>
      <c r="R44" s="393"/>
      <c r="S44" s="394"/>
      <c r="T44" s="391"/>
    </row>
    <row r="45" spans="1:20" s="386" customFormat="1" ht="18.5" x14ac:dyDescent="0.45">
      <c r="B45" s="387" t="s">
        <v>165</v>
      </c>
      <c r="C45" s="387"/>
      <c r="D45" s="395"/>
      <c r="E45" s="396"/>
      <c r="F45" s="397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5"/>
      <c r="T45" s="391"/>
    </row>
    <row r="46" spans="1:20" ht="18.5" x14ac:dyDescent="0.45">
      <c r="A46" s="233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</row>
    <row r="48" spans="1:20" ht="26" x14ac:dyDescent="0.6">
      <c r="A48" s="378"/>
      <c r="B48" s="378"/>
      <c r="C48" s="378"/>
      <c r="D48" s="378"/>
      <c r="E48" s="378" t="s">
        <v>254</v>
      </c>
      <c r="F48" s="378"/>
      <c r="G48" s="378"/>
      <c r="H48" s="378"/>
      <c r="I48" s="378"/>
      <c r="J48" s="378"/>
      <c r="K48" s="378"/>
      <c r="L48" s="378"/>
      <c r="M48" s="379"/>
      <c r="N48" s="379"/>
      <c r="O48" s="379"/>
      <c r="P48" s="379"/>
      <c r="Q48" s="379"/>
      <c r="R48" s="379"/>
      <c r="S48" s="379"/>
      <c r="T48" s="378"/>
    </row>
  </sheetData>
  <mergeCells count="9">
    <mergeCell ref="B44:C44"/>
    <mergeCell ref="B31:B36"/>
    <mergeCell ref="B39:S39"/>
    <mergeCell ref="B27:B29"/>
    <mergeCell ref="B4:B6"/>
    <mergeCell ref="B7:B10"/>
    <mergeCell ref="B11:B15"/>
    <mergeCell ref="B20:B25"/>
    <mergeCell ref="B17:B18"/>
  </mergeCells>
  <phoneticPr fontId="26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40"/>
  <sheetViews>
    <sheetView zoomScale="80" zoomScaleNormal="80" zoomScalePage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8.81640625" defaultRowHeight="14.5" x14ac:dyDescent="0.35"/>
  <cols>
    <col min="1" max="1" width="7.453125" customWidth="1"/>
    <col min="2" max="2" width="59.6328125" customWidth="1"/>
    <col min="3" max="3" width="15.453125" style="8" customWidth="1"/>
    <col min="4" max="5" width="12.81640625" style="8" customWidth="1"/>
    <col min="6" max="6" width="13.36328125" style="8" customWidth="1"/>
    <col min="7" max="7" width="17.453125" style="8" customWidth="1"/>
    <col min="8" max="8" width="15.453125" style="8" customWidth="1"/>
    <col min="9" max="9" width="17.36328125" style="8" customWidth="1"/>
    <col min="10" max="10" width="13.36328125" style="8" customWidth="1"/>
    <col min="11" max="11" width="53" style="13" customWidth="1"/>
  </cols>
  <sheetData>
    <row r="1" spans="1:11" ht="18.75" customHeight="1" x14ac:dyDescent="0.45">
      <c r="A1" s="421" t="s">
        <v>14</v>
      </c>
      <c r="B1" s="421"/>
      <c r="C1" s="44" t="s">
        <v>11</v>
      </c>
      <c r="D1" s="44">
        <v>2014</v>
      </c>
      <c r="E1" s="422" t="s">
        <v>27</v>
      </c>
      <c r="F1" s="423"/>
      <c r="G1" s="423"/>
      <c r="H1" s="423"/>
      <c r="I1" s="423"/>
      <c r="J1" s="423"/>
      <c r="K1" s="423"/>
    </row>
    <row r="2" spans="1:11" ht="35.25" customHeight="1" x14ac:dyDescent="0.35">
      <c r="B2" s="25"/>
      <c r="C2" s="23" t="s">
        <v>10</v>
      </c>
      <c r="D2" s="23" t="s">
        <v>17</v>
      </c>
      <c r="E2" s="23" t="s">
        <v>22</v>
      </c>
      <c r="F2" s="23" t="s">
        <v>23</v>
      </c>
      <c r="G2" s="23" t="s">
        <v>24</v>
      </c>
      <c r="H2" s="23" t="s">
        <v>26</v>
      </c>
      <c r="I2" s="23" t="s">
        <v>25</v>
      </c>
      <c r="J2" s="23" t="s">
        <v>29</v>
      </c>
      <c r="K2" s="24" t="s">
        <v>12</v>
      </c>
    </row>
    <row r="3" spans="1:11" ht="16.5" customHeight="1" x14ac:dyDescent="0.35">
      <c r="B3" s="22" t="s">
        <v>43</v>
      </c>
      <c r="C3" s="100">
        <f>+'System Attributes and Operation'!R14</f>
        <v>0</v>
      </c>
      <c r="D3" s="54">
        <v>0.01</v>
      </c>
      <c r="E3" s="124">
        <f>+C3*D3*0.5</f>
        <v>0</v>
      </c>
      <c r="F3" s="103">
        <f>+C3-2*E3</f>
        <v>0</v>
      </c>
      <c r="G3" s="107">
        <f>+C3+E3*2</f>
        <v>0</v>
      </c>
      <c r="H3" s="125">
        <f>+E3*4</f>
        <v>0</v>
      </c>
      <c r="I3" s="126">
        <f>+E3^2</f>
        <v>0</v>
      </c>
      <c r="J3" s="45"/>
      <c r="K3" s="15"/>
    </row>
    <row r="4" spans="1:11" ht="16.5" customHeight="1" x14ac:dyDescent="0.35">
      <c r="B4" s="22" t="s">
        <v>57</v>
      </c>
      <c r="C4" s="100">
        <f>+C3</f>
        <v>0</v>
      </c>
      <c r="D4" s="54">
        <v>0.01</v>
      </c>
      <c r="E4" s="124">
        <f t="shared" ref="E4:E9" si="0">+C4*D4*0.5</f>
        <v>0</v>
      </c>
      <c r="F4" s="103">
        <f t="shared" ref="F4:F9" si="1">+C4-2*E4</f>
        <v>0</v>
      </c>
      <c r="G4" s="107">
        <f t="shared" ref="G4:G9" si="2">+C4+E4*2</f>
        <v>0</v>
      </c>
      <c r="H4" s="125">
        <f t="shared" ref="H4:H21" si="3">+E4*4</f>
        <v>0</v>
      </c>
      <c r="I4" s="126">
        <f t="shared" ref="I4:I9" si="4">+E4^2</f>
        <v>0</v>
      </c>
      <c r="J4" s="45"/>
      <c r="K4" s="15"/>
    </row>
    <row r="5" spans="1:11" ht="16.5" customHeight="1" x14ac:dyDescent="0.35">
      <c r="B5" s="22" t="s">
        <v>58</v>
      </c>
      <c r="C5" s="100">
        <f>+'System Attributes and Operation'!R4</f>
        <v>0</v>
      </c>
      <c r="D5" s="54">
        <v>0.02</v>
      </c>
      <c r="E5" s="124">
        <f t="shared" si="0"/>
        <v>0</v>
      </c>
      <c r="F5" s="103">
        <f t="shared" si="1"/>
        <v>0</v>
      </c>
      <c r="G5" s="107">
        <f t="shared" si="2"/>
        <v>0</v>
      </c>
      <c r="H5" s="125">
        <f t="shared" si="3"/>
        <v>0</v>
      </c>
      <c r="I5" s="125">
        <f t="shared" si="4"/>
        <v>0</v>
      </c>
      <c r="J5" s="55"/>
      <c r="K5" s="15"/>
    </row>
    <row r="6" spans="1:11" ht="16.5" customHeight="1" x14ac:dyDescent="0.35">
      <c r="B6" s="22" t="s">
        <v>216</v>
      </c>
      <c r="C6" s="162">
        <f>+'Utility Finances'!R10</f>
        <v>0</v>
      </c>
      <c r="D6" s="50">
        <v>0.01</v>
      </c>
      <c r="E6" s="163">
        <f t="shared" si="0"/>
        <v>0</v>
      </c>
      <c r="F6" s="164">
        <f t="shared" si="1"/>
        <v>0</v>
      </c>
      <c r="G6" s="165">
        <f t="shared" si="2"/>
        <v>0</v>
      </c>
      <c r="H6" s="163">
        <f t="shared" si="3"/>
        <v>0</v>
      </c>
      <c r="I6" s="163">
        <f t="shared" si="4"/>
        <v>0</v>
      </c>
      <c r="J6" s="55"/>
      <c r="K6" s="15"/>
    </row>
    <row r="7" spans="1:11" ht="16.5" customHeight="1" x14ac:dyDescent="0.35">
      <c r="B7" s="22" t="s">
        <v>217</v>
      </c>
      <c r="C7" s="162">
        <f>+'Utility Finances'!R17</f>
        <v>0</v>
      </c>
      <c r="D7" s="50">
        <v>0.01</v>
      </c>
      <c r="E7" s="163">
        <f t="shared" si="0"/>
        <v>0</v>
      </c>
      <c r="F7" s="164">
        <f t="shared" si="1"/>
        <v>0</v>
      </c>
      <c r="G7" s="165">
        <f t="shared" si="2"/>
        <v>0</v>
      </c>
      <c r="H7" s="163">
        <f t="shared" si="3"/>
        <v>0</v>
      </c>
      <c r="I7" s="163">
        <f t="shared" si="4"/>
        <v>0</v>
      </c>
      <c r="J7" s="55"/>
      <c r="K7" s="15"/>
    </row>
    <row r="8" spans="1:11" ht="16.5" customHeight="1" x14ac:dyDescent="0.35">
      <c r="B8" s="18" t="s">
        <v>16</v>
      </c>
      <c r="C8" s="162">
        <v>0.2</v>
      </c>
      <c r="D8" s="50">
        <v>0.03</v>
      </c>
      <c r="E8" s="163">
        <f t="shared" si="0"/>
        <v>3.0000000000000001E-3</v>
      </c>
      <c r="F8" s="164">
        <f t="shared" si="1"/>
        <v>0.19400000000000001</v>
      </c>
      <c r="G8" s="165">
        <f t="shared" si="2"/>
        <v>0.20600000000000002</v>
      </c>
      <c r="H8" s="163">
        <f t="shared" si="3"/>
        <v>1.2E-2</v>
      </c>
      <c r="I8" s="163">
        <f t="shared" si="4"/>
        <v>9.0000000000000002E-6</v>
      </c>
      <c r="J8" s="56"/>
      <c r="K8" s="15"/>
    </row>
    <row r="9" spans="1:11" ht="16.5" customHeight="1" x14ac:dyDescent="0.35">
      <c r="B9" s="18" t="s">
        <v>40</v>
      </c>
      <c r="C9" s="187">
        <f>+'Utility Finances'!$R$54</f>
        <v>0</v>
      </c>
      <c r="D9" s="50">
        <v>0.05</v>
      </c>
      <c r="E9" s="163">
        <f t="shared" si="0"/>
        <v>0</v>
      </c>
      <c r="F9" s="164">
        <f t="shared" si="1"/>
        <v>0</v>
      </c>
      <c r="G9" s="165">
        <f t="shared" si="2"/>
        <v>0</v>
      </c>
      <c r="H9" s="163">
        <f t="shared" si="3"/>
        <v>0</v>
      </c>
      <c r="I9" s="163">
        <f t="shared" si="4"/>
        <v>0</v>
      </c>
      <c r="J9" s="56"/>
      <c r="K9" s="15"/>
    </row>
    <row r="10" spans="1:11" s="3" customFormat="1" ht="15" customHeight="1" x14ac:dyDescent="0.35">
      <c r="B10" s="16"/>
      <c r="C10" s="6"/>
      <c r="D10" s="21"/>
      <c r="E10" s="21"/>
      <c r="F10" s="6"/>
      <c r="G10" s="6"/>
      <c r="H10" s="6"/>
      <c r="I10" s="6"/>
      <c r="J10" s="6"/>
      <c r="K10" s="17"/>
    </row>
    <row r="11" spans="1:11" x14ac:dyDescent="0.35">
      <c r="B11" s="28" t="s">
        <v>46</v>
      </c>
      <c r="C11" s="100">
        <f>+'System Attributes and Operation'!R33</f>
        <v>0</v>
      </c>
      <c r="D11" s="75">
        <v>0.04</v>
      </c>
      <c r="E11" s="126">
        <f>+C11*D11*0.5</f>
        <v>0</v>
      </c>
      <c r="F11" s="103">
        <f>+C11-2*E11</f>
        <v>0</v>
      </c>
      <c r="G11" s="107">
        <f>+C11+E11*2</f>
        <v>0</v>
      </c>
      <c r="H11" s="126">
        <f t="shared" si="3"/>
        <v>0</v>
      </c>
      <c r="I11" s="126">
        <f>+E11^2</f>
        <v>0</v>
      </c>
      <c r="J11" s="45"/>
      <c r="K11" s="17"/>
    </row>
    <row r="12" spans="1:11" x14ac:dyDescent="0.35">
      <c r="B12" s="28" t="s">
        <v>47</v>
      </c>
      <c r="C12" s="111">
        <f>+'System Attributes and Operation'!R31</f>
        <v>0</v>
      </c>
      <c r="D12" s="50">
        <v>0</v>
      </c>
      <c r="E12" s="124">
        <f>+C12*D12*0.5</f>
        <v>0</v>
      </c>
      <c r="F12" s="103">
        <f>+C12-2*E12</f>
        <v>0</v>
      </c>
      <c r="G12" s="107">
        <f>+C12+E12*2</f>
        <v>0</v>
      </c>
      <c r="H12" s="126">
        <f t="shared" si="3"/>
        <v>0</v>
      </c>
      <c r="I12" s="126">
        <f>+E12^2</f>
        <v>0</v>
      </c>
      <c r="J12" s="45"/>
      <c r="K12" s="17"/>
    </row>
    <row r="13" spans="1:11" x14ac:dyDescent="0.35">
      <c r="B13" s="47" t="s">
        <v>48</v>
      </c>
      <c r="C13" s="100">
        <f>+C12+C11</f>
        <v>0</v>
      </c>
      <c r="D13" s="41" t="e">
        <f>+(E13/C13)*2</f>
        <v>#DIV/0!</v>
      </c>
      <c r="E13" s="51">
        <f>+SQRT(I13)</f>
        <v>0</v>
      </c>
      <c r="F13" s="103">
        <f>+C13-2*E13</f>
        <v>0</v>
      </c>
      <c r="G13" s="107">
        <f>+C13+2*E13</f>
        <v>0</v>
      </c>
      <c r="H13" s="19">
        <f t="shared" si="3"/>
        <v>0</v>
      </c>
      <c r="I13" s="19">
        <f>+I12+I11</f>
        <v>0</v>
      </c>
      <c r="J13" s="45"/>
      <c r="K13" s="17"/>
    </row>
    <row r="14" spans="1:11" x14ac:dyDescent="0.35">
      <c r="B14" s="27" t="s">
        <v>49</v>
      </c>
      <c r="C14" s="111">
        <v>0</v>
      </c>
      <c r="D14" s="50">
        <v>0</v>
      </c>
      <c r="E14" s="126">
        <f>+C14*D14*0.5</f>
        <v>0</v>
      </c>
      <c r="F14" s="103">
        <f>+C14-2*E14</f>
        <v>0</v>
      </c>
      <c r="G14" s="107">
        <f>+C14+E14*2</f>
        <v>0</v>
      </c>
      <c r="H14" s="126">
        <f t="shared" si="3"/>
        <v>0</v>
      </c>
      <c r="I14" s="126">
        <f>+E14^2</f>
        <v>0</v>
      </c>
      <c r="J14" s="45"/>
      <c r="K14" s="17"/>
    </row>
    <row r="15" spans="1:11" x14ac:dyDescent="0.35">
      <c r="B15" s="27" t="s">
        <v>50</v>
      </c>
      <c r="C15" s="100">
        <f>+'Water Balance'!R8</f>
        <v>0</v>
      </c>
      <c r="D15" s="118">
        <v>0.04</v>
      </c>
      <c r="E15" s="126">
        <f t="shared" ref="E15:E16" si="5">+C15*D15*0.5</f>
        <v>0</v>
      </c>
      <c r="F15" s="103">
        <f t="shared" ref="F15:F16" si="6">+C15-2*E15</f>
        <v>0</v>
      </c>
      <c r="G15" s="107">
        <f t="shared" ref="G15:G16" si="7">+C15+2*E15</f>
        <v>0</v>
      </c>
      <c r="H15" s="126">
        <f t="shared" si="3"/>
        <v>0</v>
      </c>
      <c r="I15" s="126">
        <f t="shared" ref="I15:I16" si="8">+E15^2</f>
        <v>0</v>
      </c>
      <c r="J15" s="45"/>
      <c r="K15" s="68"/>
    </row>
    <row r="16" spans="1:11" x14ac:dyDescent="0.35">
      <c r="B16" s="27" t="s">
        <v>56</v>
      </c>
      <c r="C16" s="100">
        <v>0</v>
      </c>
      <c r="D16" s="54">
        <v>0.2</v>
      </c>
      <c r="E16" s="126">
        <f t="shared" si="5"/>
        <v>0</v>
      </c>
      <c r="F16" s="103">
        <f t="shared" si="6"/>
        <v>0</v>
      </c>
      <c r="G16" s="107">
        <f t="shared" si="7"/>
        <v>0</v>
      </c>
      <c r="H16" s="126">
        <f t="shared" si="3"/>
        <v>0</v>
      </c>
      <c r="I16" s="126">
        <f t="shared" si="8"/>
        <v>0</v>
      </c>
      <c r="J16" s="45"/>
      <c r="K16" s="68"/>
    </row>
    <row r="17" spans="1:11" x14ac:dyDescent="0.35">
      <c r="B17" s="48" t="s">
        <v>51</v>
      </c>
      <c r="C17" s="100">
        <f>+C16+C15</f>
        <v>0</v>
      </c>
      <c r="D17" s="41" t="e">
        <f>+(E17/C17)*2</f>
        <v>#DIV/0!</v>
      </c>
      <c r="E17" s="51">
        <f>+SQRT(I17)</f>
        <v>0</v>
      </c>
      <c r="F17" s="103">
        <f>+C17-2*E17</f>
        <v>0</v>
      </c>
      <c r="G17" s="107">
        <f>+C17+2*E17</f>
        <v>0</v>
      </c>
      <c r="H17" s="19">
        <f t="shared" ref="H17:H19" si="9">+E17*4</f>
        <v>0</v>
      </c>
      <c r="I17" s="19">
        <f>+I16+I15</f>
        <v>0</v>
      </c>
      <c r="J17" s="45"/>
      <c r="K17" s="17"/>
    </row>
    <row r="18" spans="1:11" x14ac:dyDescent="0.35">
      <c r="B18" s="27" t="s">
        <v>52</v>
      </c>
      <c r="C18" s="100">
        <f>+'Water Balance'!R10</f>
        <v>0</v>
      </c>
      <c r="D18" s="50">
        <v>0.1</v>
      </c>
      <c r="E18" s="127">
        <f t="shared" ref="E18" si="10">+C18*D18*0.5</f>
        <v>0</v>
      </c>
      <c r="F18" s="103">
        <f>+C18-2*E18</f>
        <v>0</v>
      </c>
      <c r="G18" s="107">
        <f>+C18+2*E18</f>
        <v>0</v>
      </c>
      <c r="H18" s="126">
        <f t="shared" si="9"/>
        <v>0</v>
      </c>
      <c r="I18" s="126">
        <f t="shared" ref="I18" si="11">+E18^2</f>
        <v>0</v>
      </c>
      <c r="J18" s="45"/>
      <c r="K18" s="17"/>
    </row>
    <row r="19" spans="1:11" x14ac:dyDescent="0.35">
      <c r="B19" s="10" t="s">
        <v>42</v>
      </c>
      <c r="C19" s="100">
        <f>+C13-C17</f>
        <v>0</v>
      </c>
      <c r="D19" s="41" t="e">
        <f>+(E19/C19)*2</f>
        <v>#DIV/0!</v>
      </c>
      <c r="E19" s="51">
        <f>+SQRT(I19)</f>
        <v>0</v>
      </c>
      <c r="F19" s="103">
        <f t="shared" ref="F19:F21" si="12">+C19-2*E19</f>
        <v>0</v>
      </c>
      <c r="G19" s="107">
        <f t="shared" ref="G19:G21" si="13">+C19+2*E19</f>
        <v>0</v>
      </c>
      <c r="H19" s="19">
        <f t="shared" si="9"/>
        <v>0</v>
      </c>
      <c r="I19" s="19">
        <f>+I13+I17</f>
        <v>0</v>
      </c>
      <c r="J19" s="45"/>
      <c r="K19" s="17"/>
    </row>
    <row r="20" spans="1:11" x14ac:dyDescent="0.35">
      <c r="B20" s="9" t="s">
        <v>53</v>
      </c>
      <c r="C20" s="100">
        <f>+C19-C18</f>
        <v>0</v>
      </c>
      <c r="D20" s="41" t="e">
        <f>+(E20/C20)*2</f>
        <v>#DIV/0!</v>
      </c>
      <c r="E20" s="51">
        <f>+SQRT(I20)</f>
        <v>0</v>
      </c>
      <c r="F20" s="103">
        <f t="shared" si="12"/>
        <v>0</v>
      </c>
      <c r="G20" s="107">
        <f t="shared" si="13"/>
        <v>0</v>
      </c>
      <c r="H20" s="19">
        <f t="shared" si="3"/>
        <v>0</v>
      </c>
      <c r="I20" s="19">
        <f>+I19+I18</f>
        <v>0</v>
      </c>
      <c r="J20" s="45"/>
      <c r="K20" s="17"/>
    </row>
    <row r="21" spans="1:11" x14ac:dyDescent="0.35">
      <c r="A21" s="66"/>
      <c r="B21" s="11" t="s">
        <v>54</v>
      </c>
      <c r="C21" s="100">
        <f>+'Water Balance'!R14</f>
        <v>0</v>
      </c>
      <c r="D21" s="54">
        <v>0.05</v>
      </c>
      <c r="E21" s="126">
        <f t="shared" ref="E21" si="14">+C21*D21*0.5</f>
        <v>0</v>
      </c>
      <c r="F21" s="104">
        <f t="shared" si="12"/>
        <v>0</v>
      </c>
      <c r="G21" s="108">
        <f t="shared" si="13"/>
        <v>0</v>
      </c>
      <c r="H21" s="126">
        <f t="shared" si="3"/>
        <v>0</v>
      </c>
      <c r="I21" s="126">
        <f>+E21^2</f>
        <v>0</v>
      </c>
      <c r="J21" s="45"/>
      <c r="K21" s="2"/>
    </row>
    <row r="22" spans="1:11" x14ac:dyDescent="0.35">
      <c r="A22" s="66"/>
      <c r="B22" s="7" t="s">
        <v>55</v>
      </c>
      <c r="C22" s="100">
        <f>+C20-C21</f>
        <v>0</v>
      </c>
      <c r="D22" s="41" t="e">
        <f>+(E22/C22)*2</f>
        <v>#DIV/0!</v>
      </c>
      <c r="E22" s="51">
        <f>+SQRT(I22)</f>
        <v>0</v>
      </c>
      <c r="F22" s="104">
        <f t="shared" ref="F22" si="15">+C22-2*E22</f>
        <v>0</v>
      </c>
      <c r="G22" s="108">
        <f t="shared" ref="G22" si="16">+C22+2*E22</f>
        <v>0</v>
      </c>
      <c r="H22" s="19">
        <f t="shared" ref="H22" si="17">+E22*4</f>
        <v>0</v>
      </c>
      <c r="I22" s="40">
        <f>+I21+I20</f>
        <v>0</v>
      </c>
      <c r="J22" s="77"/>
      <c r="K22" s="30"/>
    </row>
    <row r="23" spans="1:11" s="3" customFormat="1" x14ac:dyDescent="0.35">
      <c r="A23" s="67"/>
      <c r="B23" s="31"/>
      <c r="C23" s="53"/>
      <c r="D23" s="60"/>
      <c r="E23" s="53"/>
      <c r="F23" s="53"/>
      <c r="G23" s="53"/>
      <c r="H23" s="53"/>
      <c r="I23" s="61"/>
      <c r="J23" s="61"/>
      <c r="K23" s="78"/>
    </row>
    <row r="24" spans="1:11" s="3" customFormat="1" x14ac:dyDescent="0.35">
      <c r="B24" s="27" t="s">
        <v>35</v>
      </c>
      <c r="C24" s="112" t="e">
        <f>+C15*1000000/('System Attributes and Operation'!$M$14*365)</f>
        <v>#DIV/0!</v>
      </c>
      <c r="D24" s="41" t="e">
        <f>+(E24/C24)*2</f>
        <v>#DIV/0!</v>
      </c>
      <c r="E24" s="42" t="e">
        <f t="shared" ref="E24" si="18">+SQRT(I24)</f>
        <v>#DIV/0!</v>
      </c>
      <c r="F24" s="103" t="e">
        <f t="shared" ref="F24" si="19">+C24-2*E24</f>
        <v>#DIV/0!</v>
      </c>
      <c r="G24" s="107" t="e">
        <f t="shared" ref="G24" si="20">+C24+E24*2</f>
        <v>#DIV/0!</v>
      </c>
      <c r="H24" s="19" t="e">
        <f t="shared" ref="H24" si="21">+E24*4</f>
        <v>#DIV/0!</v>
      </c>
      <c r="I24" s="19" t="e">
        <f>+(C24*SQRT((E3/C3)^2+(E15/C15)^2))^2</f>
        <v>#DIV/0!</v>
      </c>
      <c r="J24" s="77"/>
      <c r="K24" s="49"/>
    </row>
    <row r="25" spans="1:11" s="3" customFormat="1" x14ac:dyDescent="0.35">
      <c r="B25" s="27" t="s">
        <v>36</v>
      </c>
      <c r="C25" s="112"/>
      <c r="D25" s="41"/>
      <c r="E25" s="42"/>
      <c r="F25" s="103"/>
      <c r="G25" s="107"/>
      <c r="H25" s="19"/>
      <c r="I25" s="19"/>
      <c r="J25" s="77"/>
      <c r="K25" s="76"/>
    </row>
    <row r="26" spans="1:11" s="3" customFormat="1" x14ac:dyDescent="0.35">
      <c r="B26" s="27" t="s">
        <v>37</v>
      </c>
      <c r="C26" s="112" t="e">
        <f>+C17*1000000/('System Attributes and Operation'!$M$14*365)</f>
        <v>#DIV/0!</v>
      </c>
      <c r="D26" s="41" t="e">
        <f>+(E26/C26)*2</f>
        <v>#DIV/0!</v>
      </c>
      <c r="E26" s="42" t="e">
        <f>+SQRT(I26)</f>
        <v>#DIV/0!</v>
      </c>
      <c r="F26" s="103" t="e">
        <f>+C26-2*E26</f>
        <v>#DIV/0!</v>
      </c>
      <c r="G26" s="107" t="e">
        <f>+C26+E26*2</f>
        <v>#DIV/0!</v>
      </c>
      <c r="H26" s="19" t="e">
        <f>+E26*4</f>
        <v>#DIV/0!</v>
      </c>
      <c r="I26" s="19" t="e">
        <f>+(C26*SQRT((E3/C3)^2+(E17/C17)^2))^2</f>
        <v>#DIV/0!</v>
      </c>
      <c r="J26" s="77"/>
      <c r="K26" s="30"/>
    </row>
    <row r="27" spans="1:11" s="31" customFormat="1" x14ac:dyDescent="0.35">
      <c r="C27" s="95"/>
      <c r="D27" s="113"/>
      <c r="E27" s="114"/>
      <c r="F27" s="53"/>
      <c r="G27" s="53"/>
      <c r="H27" s="53"/>
      <c r="I27" s="53"/>
      <c r="J27" s="53"/>
      <c r="K27" s="20"/>
    </row>
    <row r="28" spans="1:11" x14ac:dyDescent="0.35">
      <c r="B28" s="62" t="s">
        <v>6</v>
      </c>
      <c r="C28" s="112" t="e">
        <f>+C19*1000000/($C$3*365)</f>
        <v>#DIV/0!</v>
      </c>
      <c r="D28" s="43" t="e">
        <f>+(E28/C28)*2</f>
        <v>#DIV/0!</v>
      </c>
      <c r="E28" s="42" t="e">
        <f>+SQRT(I28)</f>
        <v>#DIV/0!</v>
      </c>
      <c r="F28" s="103" t="e">
        <f>+C28-2*E28</f>
        <v>#DIV/0!</v>
      </c>
      <c r="G28" s="107" t="e">
        <f>+C28+E28*2</f>
        <v>#DIV/0!</v>
      </c>
      <c r="H28" s="38" t="e">
        <f>+E28*4</f>
        <v>#DIV/0!</v>
      </c>
      <c r="I28" s="38" t="e">
        <f>+(C28*SQRT((E3/C3)^2+(E19/C19)^2))^2</f>
        <v>#DIV/0!</v>
      </c>
      <c r="J28" s="45"/>
      <c r="K28" s="17"/>
    </row>
    <row r="29" spans="1:11" x14ac:dyDescent="0.35">
      <c r="B29" s="63" t="s">
        <v>30</v>
      </c>
      <c r="C29" s="112" t="e">
        <f>+C20*1000000/($C$3*365)</f>
        <v>#DIV/0!</v>
      </c>
      <c r="D29" s="43" t="e">
        <f t="shared" ref="D29:D39" si="22">+(E29/C29)*2</f>
        <v>#DIV/0!</v>
      </c>
      <c r="E29" s="42" t="e">
        <f>+SQRT(I29)</f>
        <v>#DIV/0!</v>
      </c>
      <c r="F29" s="103" t="e">
        <f t="shared" ref="F29:F40" si="23">+C29-2*E29</f>
        <v>#DIV/0!</v>
      </c>
      <c r="G29" s="107" t="e">
        <f t="shared" ref="G29:G40" si="24">+C29+E29*2</f>
        <v>#DIV/0!</v>
      </c>
      <c r="H29" s="38" t="e">
        <f t="shared" ref="H29:H39" si="25">+E29*4</f>
        <v>#DIV/0!</v>
      </c>
      <c r="I29" s="38" t="e">
        <f>+(C29*SQRT((E3/C3)^2+(E20/C20)^2))^2</f>
        <v>#DIV/0!</v>
      </c>
      <c r="J29" s="45"/>
      <c r="K29" s="70"/>
    </row>
    <row r="30" spans="1:11" x14ac:dyDescent="0.35">
      <c r="B30" s="64" t="s">
        <v>28</v>
      </c>
      <c r="C30" s="112" t="e">
        <f>+C21*1000000/($C$3*365)</f>
        <v>#DIV/0!</v>
      </c>
      <c r="D30" s="43" t="e">
        <f t="shared" ref="D30" si="26">+(E30/C30)*2</f>
        <v>#DIV/0!</v>
      </c>
      <c r="E30" s="42" t="e">
        <f>+SQRT(I30)</f>
        <v>#DIV/0!</v>
      </c>
      <c r="F30" s="103" t="e">
        <f t="shared" ref="F30" si="27">+C30-2*E30</f>
        <v>#DIV/0!</v>
      </c>
      <c r="G30" s="107" t="e">
        <f t="shared" ref="G30" si="28">+C30+E30*2</f>
        <v>#DIV/0!</v>
      </c>
      <c r="H30" s="38" t="e">
        <f t="shared" ref="H30" si="29">+E30*4</f>
        <v>#DIV/0!</v>
      </c>
      <c r="I30" s="38" t="e">
        <f>+(C30*SQRT((E3/C3)^2+(E21/C21)^2))^2</f>
        <v>#DIV/0!</v>
      </c>
      <c r="J30" s="45"/>
      <c r="K30" s="17"/>
    </row>
    <row r="31" spans="1:11" x14ac:dyDescent="0.35">
      <c r="B31" s="64" t="s">
        <v>15</v>
      </c>
      <c r="C31" s="101" t="e">
        <f>+C21/C17</f>
        <v>#DIV/0!</v>
      </c>
      <c r="D31" s="43" t="e">
        <f t="shared" si="22"/>
        <v>#DIV/0!</v>
      </c>
      <c r="E31" s="43" t="e">
        <f t="shared" ref="E31:E39" si="30">+SQRT(I31)</f>
        <v>#DIV/0!</v>
      </c>
      <c r="F31" s="105" t="e">
        <f t="shared" si="23"/>
        <v>#DIV/0!</v>
      </c>
      <c r="G31" s="109" t="e">
        <f t="shared" si="24"/>
        <v>#DIV/0!</v>
      </c>
      <c r="H31" s="32" t="e">
        <f t="shared" si="25"/>
        <v>#DIV/0!</v>
      </c>
      <c r="I31" s="65" t="e">
        <f>+(C31*SQRT((E17/C17)^2+(E21/C21)^2))^2</f>
        <v>#DIV/0!</v>
      </c>
      <c r="J31" s="57"/>
      <c r="K31" s="17"/>
    </row>
    <row r="32" spans="1:11" ht="15.5" x14ac:dyDescent="0.35">
      <c r="B32" s="7" t="s">
        <v>8</v>
      </c>
      <c r="C32" s="115" t="e">
        <f>+C22*1000000/($C$3*365)</f>
        <v>#DIV/0!</v>
      </c>
      <c r="D32" s="41" t="e">
        <f t="shared" si="22"/>
        <v>#DIV/0!</v>
      </c>
      <c r="E32" s="42" t="e">
        <f t="shared" si="30"/>
        <v>#DIV/0!</v>
      </c>
      <c r="F32" s="116" t="e">
        <f t="shared" si="23"/>
        <v>#DIV/0!</v>
      </c>
      <c r="G32" s="117" t="e">
        <f t="shared" si="24"/>
        <v>#DIV/0!</v>
      </c>
      <c r="H32" s="19" t="e">
        <f t="shared" si="25"/>
        <v>#DIV/0!</v>
      </c>
      <c r="I32" s="19" t="e">
        <f>+(C32*SQRT((E3/C3)^2+(E22/C22)^2))^2</f>
        <v>#DIV/0!</v>
      </c>
      <c r="J32" s="45"/>
      <c r="K32" s="30"/>
    </row>
    <row r="33" spans="2:11" x14ac:dyDescent="0.35">
      <c r="B33" s="7" t="s">
        <v>7</v>
      </c>
      <c r="C33" s="102" t="e">
        <f>+C22*1000/(C5*365)</f>
        <v>#DIV/0!</v>
      </c>
      <c r="D33" s="43" t="e">
        <f t="shared" si="22"/>
        <v>#DIV/0!</v>
      </c>
      <c r="E33" s="42" t="e">
        <f t="shared" si="30"/>
        <v>#DIV/0!</v>
      </c>
      <c r="F33" s="106" t="e">
        <f t="shared" si="23"/>
        <v>#DIV/0!</v>
      </c>
      <c r="G33" s="110" t="e">
        <f t="shared" si="24"/>
        <v>#DIV/0!</v>
      </c>
      <c r="H33" s="29" t="e">
        <f t="shared" si="25"/>
        <v>#DIV/0!</v>
      </c>
      <c r="I33" s="39" t="e">
        <f>+(C33*SQRT((E5/C5)^2+(E22/C22)^2))^2</f>
        <v>#DIV/0!</v>
      </c>
      <c r="J33" s="58"/>
      <c r="K33" s="30"/>
    </row>
    <row r="34" spans="2:11" s="3" customFormat="1" x14ac:dyDescent="0.35">
      <c r="B34" s="31"/>
      <c r="C34" s="114"/>
      <c r="D34" s="60"/>
      <c r="E34" s="136"/>
      <c r="F34" s="114"/>
      <c r="G34" s="114"/>
      <c r="H34" s="114"/>
      <c r="I34" s="137"/>
      <c r="J34" s="135"/>
      <c r="K34" s="30"/>
    </row>
    <row r="35" spans="2:11" ht="15.5" x14ac:dyDescent="0.35">
      <c r="B35" s="11" t="s">
        <v>142</v>
      </c>
      <c r="C35" s="185" t="e">
        <f>+'Water Balance'!R31</f>
        <v>#DIV/0!</v>
      </c>
      <c r="D35" s="41" t="e">
        <f t="shared" si="22"/>
        <v>#DIV/0!</v>
      </c>
      <c r="E35" s="186" t="e">
        <f t="shared" si="30"/>
        <v>#DIV/0!</v>
      </c>
      <c r="F35" s="183" t="e">
        <f t="shared" si="23"/>
        <v>#DIV/0!</v>
      </c>
      <c r="G35" s="184" t="e">
        <f t="shared" si="24"/>
        <v>#DIV/0!</v>
      </c>
      <c r="H35" s="182" t="e">
        <f t="shared" si="25"/>
        <v>#DIV/0!</v>
      </c>
      <c r="I35" s="182" t="e">
        <f>+(C35*SQRT((E8/C8)^2+(E21/C21)^2))^2</f>
        <v>#DIV/0!</v>
      </c>
      <c r="J35" s="59"/>
      <c r="K35" s="30"/>
    </row>
    <row r="36" spans="2:11" ht="15.5" x14ac:dyDescent="0.35">
      <c r="B36" s="11" t="s">
        <v>164</v>
      </c>
      <c r="C36" s="167" t="e">
        <f>+C35/'Utility Finances'!R10</f>
        <v>#DIV/0!</v>
      </c>
      <c r="D36" s="173" t="e">
        <f t="shared" si="22"/>
        <v>#DIV/0!</v>
      </c>
      <c r="E36" s="166" t="e">
        <f t="shared" si="30"/>
        <v>#DIV/0!</v>
      </c>
      <c r="F36" s="168" t="e">
        <f t="shared" ref="F36" si="31">+C36-2*E36</f>
        <v>#DIV/0!</v>
      </c>
      <c r="G36" s="169" t="e">
        <f t="shared" ref="G36" si="32">+C36+E36*2</f>
        <v>#DIV/0!</v>
      </c>
      <c r="H36" s="170" t="e">
        <f t="shared" si="25"/>
        <v>#DIV/0!</v>
      </c>
      <c r="I36" s="170" t="e">
        <f>+(C36*SQRT((E35/C35)^2+(E6/C6)^2))^2</f>
        <v>#DIV/0!</v>
      </c>
      <c r="J36" s="59"/>
      <c r="K36" s="30"/>
    </row>
    <row r="37" spans="2:11" ht="15.5" x14ac:dyDescent="0.35">
      <c r="B37" s="7" t="s">
        <v>143</v>
      </c>
      <c r="C37" s="185">
        <f>+C22*C9</f>
        <v>0</v>
      </c>
      <c r="D37" s="43" t="e">
        <f t="shared" si="22"/>
        <v>#DIV/0!</v>
      </c>
      <c r="E37" s="186" t="e">
        <f t="shared" si="30"/>
        <v>#DIV/0!</v>
      </c>
      <c r="F37" s="183" t="e">
        <f t="shared" si="23"/>
        <v>#DIV/0!</v>
      </c>
      <c r="G37" s="184" t="e">
        <f t="shared" si="24"/>
        <v>#DIV/0!</v>
      </c>
      <c r="H37" s="182" t="e">
        <f t="shared" si="25"/>
        <v>#DIV/0!</v>
      </c>
      <c r="I37" s="182" t="e">
        <f>+(C37*SQRT((E9/C9)^2+(E22/C22)^2))^2</f>
        <v>#DIV/0!</v>
      </c>
      <c r="J37" s="59"/>
      <c r="K37" s="30"/>
    </row>
    <row r="38" spans="2:11" ht="15.5" x14ac:dyDescent="0.35">
      <c r="B38" s="7" t="s">
        <v>163</v>
      </c>
      <c r="C38" s="167" t="e">
        <f>+C37/'Utility Finances'!R17</f>
        <v>#DIV/0!</v>
      </c>
      <c r="D38" s="173" t="e">
        <f t="shared" ref="D38" si="33">+(E38/C38)*2</f>
        <v>#DIV/0!</v>
      </c>
      <c r="E38" s="166" t="e">
        <f t="shared" ref="E38" si="34">+SQRT(I38)</f>
        <v>#DIV/0!</v>
      </c>
      <c r="F38" s="168" t="e">
        <f t="shared" si="23"/>
        <v>#DIV/0!</v>
      </c>
      <c r="G38" s="169" t="e">
        <f t="shared" si="24"/>
        <v>#DIV/0!</v>
      </c>
      <c r="H38" s="170" t="e">
        <f t="shared" ref="H38" si="35">+E38*4</f>
        <v>#DIV/0!</v>
      </c>
      <c r="I38" s="170" t="e">
        <f>+(C38*SQRT((E37/C37)^2+(E7/C7)^2))^2</f>
        <v>#DIV/0!</v>
      </c>
      <c r="J38" s="59"/>
      <c r="K38" s="30"/>
    </row>
    <row r="39" spans="2:11" ht="15.5" x14ac:dyDescent="0.35">
      <c r="B39" s="10" t="s">
        <v>144</v>
      </c>
      <c r="C39" s="181" t="e">
        <f>+C37+C35</f>
        <v>#DIV/0!</v>
      </c>
      <c r="D39" s="43" t="e">
        <f t="shared" si="22"/>
        <v>#DIV/0!</v>
      </c>
      <c r="E39" s="186" t="e">
        <f t="shared" si="30"/>
        <v>#DIV/0!</v>
      </c>
      <c r="F39" s="179" t="e">
        <f t="shared" si="23"/>
        <v>#DIV/0!</v>
      </c>
      <c r="G39" s="180" t="e">
        <f t="shared" si="24"/>
        <v>#DIV/0!</v>
      </c>
      <c r="H39" s="182" t="e">
        <f t="shared" si="25"/>
        <v>#DIV/0!</v>
      </c>
      <c r="I39" s="182" t="e">
        <f>+I37+I35</f>
        <v>#DIV/0!</v>
      </c>
      <c r="J39" s="59"/>
      <c r="K39" s="30"/>
    </row>
    <row r="40" spans="2:11" ht="15.5" x14ac:dyDescent="0.35">
      <c r="B40" s="10" t="s">
        <v>145</v>
      </c>
      <c r="C40" s="171" t="e">
        <f>+C39*1000/C3</f>
        <v>#DIV/0!</v>
      </c>
      <c r="D40" s="43" t="e">
        <f t="shared" ref="D40" si="36">+(E40/C40)*2</f>
        <v>#DIV/0!</v>
      </c>
      <c r="E40" s="166" t="e">
        <f t="shared" ref="E40" si="37">+SQRT(I40)</f>
        <v>#DIV/0!</v>
      </c>
      <c r="F40" s="168" t="e">
        <f t="shared" si="23"/>
        <v>#DIV/0!</v>
      </c>
      <c r="G40" s="169" t="e">
        <f t="shared" si="24"/>
        <v>#DIV/0!</v>
      </c>
      <c r="H40" s="170" t="e">
        <f t="shared" ref="H40" si="38">+E40*4</f>
        <v>#DIV/0!</v>
      </c>
      <c r="I40" s="172" t="e">
        <f>+(C40*SQRT((E39/C39)^2+(E3/C3)^2))^2</f>
        <v>#DIV/0!</v>
      </c>
      <c r="J40" s="119"/>
      <c r="K40" s="138"/>
    </row>
  </sheetData>
  <mergeCells count="2">
    <mergeCell ref="A1:B1"/>
    <mergeCell ref="E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Summary</vt:lpstr>
      <vt:lpstr>Summary Graphics</vt:lpstr>
      <vt:lpstr>System Attributes and Operation</vt:lpstr>
      <vt:lpstr>Utility Finances</vt:lpstr>
      <vt:lpstr>Water Balance</vt:lpstr>
      <vt:lpstr>WB Confidence Analysis</vt:lpstr>
      <vt:lpstr>Summary!Print_Area</vt:lpstr>
      <vt:lpstr>'System Attributes and Operation'!Print_Area</vt:lpstr>
      <vt:lpstr>'Water Balance'!Print_Area</vt:lpstr>
    </vt:vector>
  </TitlesOfParts>
  <Company>RTI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Wyatt, Alan S.</dc:creator>
  <cp:lastModifiedBy>Greg</cp:lastModifiedBy>
  <cp:lastPrinted>2016-12-12T13:45:21Z</cp:lastPrinted>
  <dcterms:created xsi:type="dcterms:W3CDTF">2015-01-20T20:25:58Z</dcterms:created>
  <dcterms:modified xsi:type="dcterms:W3CDTF">2018-04-20T20:09:25Z</dcterms:modified>
</cp:coreProperties>
</file>